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ni.au.dk\dfs\ST_IFA-katep\public\Karin\Forms\"/>
    </mc:Choice>
  </mc:AlternateContent>
  <bookViews>
    <workbookView xWindow="855" yWindow="45" windowWidth="15600" windowHeight="13005"/>
  </bookViews>
  <sheets>
    <sheet name="Rejseafregning " sheetId="3" r:id="rId1"/>
    <sheet name="Valuta" sheetId="6" state="hidden" r:id="rId2"/>
    <sheet name="Beregninger" sheetId="5" state="hidden" r:id="rId3"/>
    <sheet name="Satser" sheetId="4" state="hidden" r:id="rId4"/>
  </sheets>
  <definedNames>
    <definedName name="A">'Rejseafregning '!$AJ$25</definedName>
    <definedName name="AFDELING">'Rejseafregning '!$B$2</definedName>
    <definedName name="Afdelinger">Beregninger!$I$49:$I$65</definedName>
    <definedName name="B">'Rejseafregning '!$AJ$26</definedName>
    <definedName name="Blanksrange">Beregninger!$C$7:$C$14</definedName>
    <definedName name="Cr">'Rejseafregning '!$AJ$27</definedName>
    <definedName name="D">'Rejseafregning '!$AJ$28</definedName>
    <definedName name="Dansk">Satser!$B$9:$B$87</definedName>
    <definedName name="Departments">Beregninger!$M$49:$M$65</definedName>
    <definedName name="English">Satser!$C$9:$C$87</definedName>
    <definedName name="F">'Rejseafregning '!$AJ$30</definedName>
    <definedName name="G">'Rejseafregning '!$AJ$31</definedName>
    <definedName name="H">'Rejseafregning '!$AJ$32</definedName>
    <definedName name="kurs1">'Rejseafregning '!$Z$23</definedName>
    <definedName name="kurs2">'Rejseafregning '!$AE$23</definedName>
    <definedName name="LANGUAGE">'Rejseafregning '!$AK$2</definedName>
    <definedName name="MAD">'Rejseafregning '!$AJ$29</definedName>
    <definedName name="MADINDLAND">'Rejseafregning '!$S$29</definedName>
    <definedName name="MADUDLAND">'Rejseafregning '!$X$29:$AI$29</definedName>
    <definedName name="MADUDLAND1">'Rejseafregning '!$X$29</definedName>
    <definedName name="MADUDLAND2">'Rejseafregning '!$AC$29</definedName>
    <definedName name="Nation">'Rejseafregning '!$J$14</definedName>
    <definedName name="NOBLANKSRANGE">Beregninger!$D$7:$D$14</definedName>
    <definedName name="PHD">Beregninger!$M$27:$M$28</definedName>
    <definedName name="PHDe">Beregninger!$N$27:$N$28</definedName>
    <definedName name="_xlnm.Print_Area" localSheetId="0">'Rejseafregning '!$A$1:$AO$78</definedName>
    <definedName name="RATE">Beregninger!$M$26</definedName>
    <definedName name="Sprog">Beregninger!$B$1:$B$3</definedName>
    <definedName name="Type">'Rejseafregning '!$X$2</definedName>
    <definedName name="Typed">Beregninger!$C$33:$C$34</definedName>
    <definedName name="Typee">Beregninger!$F$33:$F$34</definedName>
    <definedName name="Valuta">'Rejseafregning '!$AC$11</definedName>
    <definedName name="Valuta1">'Rejseafregning '!$U$21</definedName>
    <definedName name="Valuta2">'Rejseafregning '!$Z$21</definedName>
    <definedName name="Valuta3">'Rejseafregning '!$AE$21</definedName>
    <definedName name="Vtyper">Valuta!$B$4:$B$36</definedName>
  </definedNames>
  <calcPr calcId="162913"/>
</workbook>
</file>

<file path=xl/calcChain.xml><?xml version="1.0" encoding="utf-8"?>
<calcChain xmlns="http://schemas.openxmlformats.org/spreadsheetml/2006/main">
  <c r="B78" i="3" l="1"/>
  <c r="F78" i="3"/>
  <c r="I78" i="3"/>
  <c r="O78" i="3"/>
  <c r="W65" i="3"/>
  <c r="B1" i="3"/>
  <c r="E67" i="3"/>
  <c r="B67" i="3"/>
  <c r="C23" i="4"/>
  <c r="B23" i="4"/>
  <c r="Z19" i="3"/>
  <c r="C6" i="5"/>
  <c r="D6" i="5" s="1"/>
  <c r="F12" i="5"/>
  <c r="J1" i="5"/>
  <c r="B34" i="3" s="1"/>
  <c r="H2" i="5"/>
  <c r="E7" i="5"/>
  <c r="K20" i="5"/>
  <c r="D8" i="4"/>
  <c r="D87" i="4"/>
  <c r="D165" i="4" s="1"/>
  <c r="D86" i="4"/>
  <c r="D164" i="4" s="1"/>
  <c r="D85" i="4"/>
  <c r="D163" i="4" s="1"/>
  <c r="D84" i="4"/>
  <c r="D162" i="4"/>
  <c r="D83" i="4"/>
  <c r="D161" i="4" s="1"/>
  <c r="D82" i="4"/>
  <c r="D160" i="4" s="1"/>
  <c r="D81" i="4"/>
  <c r="D159" i="4" s="1"/>
  <c r="D80" i="4"/>
  <c r="D158" i="4"/>
  <c r="D79" i="4"/>
  <c r="D157" i="4" s="1"/>
  <c r="D78" i="4"/>
  <c r="D156" i="4" s="1"/>
  <c r="D77" i="4"/>
  <c r="D155" i="4" s="1"/>
  <c r="D76" i="4"/>
  <c r="D154" i="4"/>
  <c r="D75" i="4"/>
  <c r="D153" i="4" s="1"/>
  <c r="D74" i="4"/>
  <c r="D152" i="4" s="1"/>
  <c r="D73" i="4"/>
  <c r="D151" i="4" s="1"/>
  <c r="D72" i="4"/>
  <c r="D150" i="4"/>
  <c r="D71" i="4"/>
  <c r="D149" i="4" s="1"/>
  <c r="D70" i="4"/>
  <c r="D148" i="4" s="1"/>
  <c r="D69" i="4"/>
  <c r="D147" i="4" s="1"/>
  <c r="D68" i="4"/>
  <c r="D146" i="4"/>
  <c r="D67" i="4"/>
  <c r="D145" i="4" s="1"/>
  <c r="D66" i="4"/>
  <c r="D144" i="4" s="1"/>
  <c r="D65" i="4"/>
  <c r="D143" i="4" s="1"/>
  <c r="D64" i="4"/>
  <c r="D142" i="4"/>
  <c r="D63" i="4"/>
  <c r="D141" i="4" s="1"/>
  <c r="D62" i="4"/>
  <c r="D140" i="4" s="1"/>
  <c r="D61" i="4"/>
  <c r="D139" i="4" s="1"/>
  <c r="D60" i="4"/>
  <c r="D138" i="4"/>
  <c r="D59" i="4"/>
  <c r="D137" i="4" s="1"/>
  <c r="D58" i="4"/>
  <c r="D136" i="4" s="1"/>
  <c r="D57" i="4"/>
  <c r="D135" i="4" s="1"/>
  <c r="D56" i="4"/>
  <c r="D134" i="4"/>
  <c r="D55" i="4"/>
  <c r="D133" i="4" s="1"/>
  <c r="D54" i="4"/>
  <c r="D132" i="4" s="1"/>
  <c r="D53" i="4"/>
  <c r="D131" i="4" s="1"/>
  <c r="D52" i="4"/>
  <c r="D130" i="4"/>
  <c r="D51" i="4"/>
  <c r="D129" i="4" s="1"/>
  <c r="D50" i="4"/>
  <c r="D128" i="4" s="1"/>
  <c r="D49" i="4"/>
  <c r="D127" i="4" s="1"/>
  <c r="D48" i="4"/>
  <c r="D126" i="4"/>
  <c r="D47" i="4"/>
  <c r="D125" i="4" s="1"/>
  <c r="D46" i="4"/>
  <c r="D124" i="4" s="1"/>
  <c r="D45" i="4"/>
  <c r="D123" i="4" s="1"/>
  <c r="D44" i="4"/>
  <c r="D122" i="4"/>
  <c r="D43" i="4"/>
  <c r="D121" i="4" s="1"/>
  <c r="D42" i="4"/>
  <c r="D120" i="4" s="1"/>
  <c r="D41" i="4"/>
  <c r="D119" i="4" s="1"/>
  <c r="D40" i="4"/>
  <c r="D118" i="4"/>
  <c r="D39" i="4"/>
  <c r="D117" i="4" s="1"/>
  <c r="D38" i="4"/>
  <c r="D116" i="4" s="1"/>
  <c r="D37" i="4"/>
  <c r="D115" i="4" s="1"/>
  <c r="D36" i="4"/>
  <c r="D114" i="4"/>
  <c r="D35" i="4"/>
  <c r="D113" i="4" s="1"/>
  <c r="D34" i="4"/>
  <c r="D112" i="4" s="1"/>
  <c r="D33" i="4"/>
  <c r="D111" i="4" s="1"/>
  <c r="D32" i="4"/>
  <c r="D110" i="4" s="1"/>
  <c r="D31" i="4"/>
  <c r="D109" i="4" s="1"/>
  <c r="D30" i="4"/>
  <c r="D108" i="4" s="1"/>
  <c r="D29" i="4"/>
  <c r="D107" i="4" s="1"/>
  <c r="D28" i="4"/>
  <c r="D106" i="4" s="1"/>
  <c r="D27" i="4"/>
  <c r="D105" i="4" s="1"/>
  <c r="D26" i="4"/>
  <c r="D104" i="4" s="1"/>
  <c r="D25" i="4"/>
  <c r="D103" i="4" s="1"/>
  <c r="D13" i="4"/>
  <c r="D91" i="4" s="1"/>
  <c r="D14" i="4"/>
  <c r="D92" i="4" s="1"/>
  <c r="D15" i="4"/>
  <c r="D93" i="4" s="1"/>
  <c r="D16" i="4"/>
  <c r="D94" i="4" s="1"/>
  <c r="D17" i="4"/>
  <c r="D95" i="4" s="1"/>
  <c r="D18" i="4"/>
  <c r="D96" i="4" s="1"/>
  <c r="D19" i="4"/>
  <c r="D97" i="4" s="1"/>
  <c r="D20" i="4"/>
  <c r="D98" i="4" s="1"/>
  <c r="D21" i="4"/>
  <c r="D99" i="4" s="1"/>
  <c r="D22" i="4"/>
  <c r="D100" i="4" s="1"/>
  <c r="D23" i="4"/>
  <c r="D101" i="4" s="1"/>
  <c r="D24" i="4"/>
  <c r="D102" i="4" s="1"/>
  <c r="D12" i="4"/>
  <c r="D90" i="4" s="1"/>
  <c r="D11" i="4"/>
  <c r="D89" i="4" s="1"/>
  <c r="D10" i="4"/>
  <c r="D88" i="4" s="1"/>
  <c r="B65" i="3"/>
  <c r="T65" i="3" s="1"/>
  <c r="AC17" i="3"/>
  <c r="AM17" i="3" s="1"/>
  <c r="AK11" i="3"/>
  <c r="W19" i="3"/>
  <c r="K19" i="3"/>
  <c r="AN20" i="3"/>
  <c r="AN35" i="3"/>
  <c r="AJ35" i="3"/>
  <c r="AJ20" i="3"/>
  <c r="M2" i="6"/>
  <c r="R78" i="3" s="1"/>
  <c r="E1" i="5"/>
  <c r="E2" i="5"/>
  <c r="K15" i="5"/>
  <c r="K16" i="5"/>
  <c r="K18" i="5" s="1"/>
  <c r="M20" i="5"/>
  <c r="M26" i="5"/>
  <c r="M29" i="5"/>
  <c r="H33" i="5"/>
  <c r="E5" i="6"/>
  <c r="G5" i="6" s="1"/>
  <c r="I5" i="6" s="1"/>
  <c r="E6" i="6"/>
  <c r="G6" i="6" s="1"/>
  <c r="B3" i="3"/>
  <c r="B5" i="3"/>
  <c r="W5" i="3"/>
  <c r="B6" i="3"/>
  <c r="W6" i="3"/>
  <c r="B7" i="3"/>
  <c r="B9" i="3"/>
  <c r="B13" i="3"/>
  <c r="G13" i="3"/>
  <c r="W13" i="3"/>
  <c r="AA13" i="3"/>
  <c r="AK13" i="3"/>
  <c r="G14" i="3"/>
  <c r="B15" i="3"/>
  <c r="W15" i="3"/>
  <c r="AA15" i="3"/>
  <c r="AK15" i="3"/>
  <c r="W17" i="3"/>
  <c r="AA17" i="3"/>
  <c r="AK17" i="3"/>
  <c r="B20" i="3"/>
  <c r="S20" i="3"/>
  <c r="X20" i="3"/>
  <c r="AC20" i="3"/>
  <c r="S21" i="3"/>
  <c r="X21" i="3"/>
  <c r="B23" i="3"/>
  <c r="S23" i="3"/>
  <c r="X23" i="3"/>
  <c r="AC23" i="3"/>
  <c r="B25" i="3"/>
  <c r="B26" i="3"/>
  <c r="B28" i="3"/>
  <c r="B29" i="3"/>
  <c r="B30" i="3"/>
  <c r="H30" i="3"/>
  <c r="K30" i="3"/>
  <c r="M30" i="3"/>
  <c r="B31" i="3"/>
  <c r="K31" i="3"/>
  <c r="M31" i="3"/>
  <c r="B32" i="3"/>
  <c r="B33" i="3"/>
  <c r="S33" i="3"/>
  <c r="B35" i="3"/>
  <c r="S35" i="3"/>
  <c r="Y35" i="3"/>
  <c r="B36" i="3"/>
  <c r="X37" i="3"/>
  <c r="AB37" i="3"/>
  <c r="B39" i="3"/>
  <c r="B42" i="3"/>
  <c r="X42" i="3"/>
  <c r="AB42" i="3"/>
  <c r="B43" i="3"/>
  <c r="X44" i="3"/>
  <c r="AB44" i="3"/>
  <c r="B46" i="3"/>
  <c r="B47" i="3"/>
  <c r="X48" i="3"/>
  <c r="AB48" i="3"/>
  <c r="B50" i="3"/>
  <c r="X50" i="3"/>
  <c r="AB50" i="3"/>
  <c r="B51" i="3"/>
  <c r="X52" i="3"/>
  <c r="AB52" i="3"/>
  <c r="B54" i="3"/>
  <c r="X55" i="3"/>
  <c r="Y55" i="3"/>
  <c r="AB55" i="3"/>
  <c r="S57" i="3"/>
  <c r="S59" i="3"/>
  <c r="S60" i="3"/>
  <c r="S61" i="3"/>
  <c r="B62" i="3"/>
  <c r="E65" i="3"/>
  <c r="AJ30" i="3"/>
  <c r="F8" i="5" s="1"/>
  <c r="G8" i="5" s="1"/>
  <c r="AJ54" i="3"/>
  <c r="AJ32" i="3"/>
  <c r="O14" i="5" s="1"/>
  <c r="AJ28" i="3"/>
  <c r="O10" i="5" s="1"/>
  <c r="AJ31" i="3"/>
  <c r="F9" i="5" s="1"/>
  <c r="G9" i="5" s="1"/>
  <c r="L13" i="6"/>
  <c r="M13" i="6" s="1"/>
  <c r="AJ36" i="3" s="1"/>
  <c r="AJ29" i="3"/>
  <c r="C12" i="5" s="1"/>
  <c r="F11" i="5"/>
  <c r="G11" i="5" s="1"/>
  <c r="AJ27" i="3"/>
  <c r="O9" i="5" s="1"/>
  <c r="AJ26" i="3"/>
  <c r="O8" i="5"/>
  <c r="AJ25" i="3"/>
  <c r="O7" i="5" s="1"/>
  <c r="Y50" i="3"/>
  <c r="AD50" i="3"/>
  <c r="Y48" i="3"/>
  <c r="AD48" i="3"/>
  <c r="AK46" i="3" s="1"/>
  <c r="Y44" i="3"/>
  <c r="Y52" i="3"/>
  <c r="AD52" i="3" s="1"/>
  <c r="E13" i="5"/>
  <c r="F13" i="5"/>
  <c r="G13" i="5" s="1"/>
  <c r="G12" i="5"/>
  <c r="C13" i="5"/>
  <c r="F14" i="5"/>
  <c r="C14" i="5" s="1"/>
  <c r="F7" i="5" l="1"/>
  <c r="G7" i="5" s="1"/>
  <c r="C8" i="5"/>
  <c r="E8" i="5" s="1"/>
  <c r="G14" i="5"/>
  <c r="O12" i="5"/>
  <c r="C49" i="5"/>
  <c r="O11" i="5"/>
  <c r="C11" i="5"/>
  <c r="L10" i="6"/>
  <c r="M10" i="6" s="1"/>
  <c r="L8" i="6"/>
  <c r="M8" i="6" s="1"/>
  <c r="L15" i="6"/>
  <c r="M15" i="6" s="1"/>
  <c r="L11" i="6"/>
  <c r="M11" i="6" s="1"/>
  <c r="L5" i="6"/>
  <c r="M5" i="6" s="1"/>
  <c r="L6" i="6"/>
  <c r="M6" i="6" s="1"/>
  <c r="AJ33" i="3"/>
  <c r="L16" i="6"/>
  <c r="M16" i="6" s="1"/>
  <c r="L12" i="6"/>
  <c r="M12" i="6" s="1"/>
  <c r="L7" i="6"/>
  <c r="M7" i="6" s="1"/>
  <c r="L9" i="6"/>
  <c r="M9" i="6" s="1"/>
  <c r="S42" i="3"/>
  <c r="S44" i="3"/>
  <c r="AD44" i="3" s="1"/>
  <c r="C84" i="3"/>
  <c r="K19" i="5"/>
  <c r="M78" i="3" s="1"/>
  <c r="O13" i="5"/>
  <c r="C7" i="5"/>
  <c r="C9" i="5"/>
  <c r="E9" i="5" s="1"/>
  <c r="K17" i="5"/>
  <c r="AD42" i="3" l="1"/>
  <c r="H18" i="3"/>
  <c r="K27" i="5"/>
  <c r="K28" i="5"/>
  <c r="AJ39" i="3" l="1"/>
  <c r="AJ57" i="3" s="1"/>
  <c r="L14" i="6"/>
  <c r="M14" i="6" s="1"/>
  <c r="F10" i="5" l="1"/>
  <c r="G10" i="5" s="1"/>
  <c r="C10" i="5"/>
  <c r="AJ59" i="3"/>
  <c r="AJ61" i="3" s="1"/>
  <c r="D11" i="5" a="1"/>
  <c r="D14" i="5" a="1"/>
  <c r="D10" i="5" a="1"/>
  <c r="D7" i="5" a="1"/>
  <c r="D8" i="5" a="1"/>
  <c r="D13" i="5" a="1"/>
  <c r="D9" i="5" a="1"/>
  <c r="D12" i="5" a="1"/>
  <c r="D13" i="5" l="1"/>
  <c r="K13" i="5" s="1"/>
  <c r="D7" i="5"/>
  <c r="K7" i="5" s="1"/>
  <c r="D14" i="5"/>
  <c r="K14" i="5" s="1"/>
  <c r="D12" i="5"/>
  <c r="K12" i="5" s="1"/>
  <c r="D8" i="5"/>
  <c r="K8" i="5" s="1"/>
  <c r="D10" i="5"/>
  <c r="K10" i="5" s="1"/>
  <c r="D11" i="5"/>
  <c r="K11" i="5" s="1"/>
  <c r="D9" i="5"/>
  <c r="K9" i="5" s="1"/>
  <c r="B71" i="3" l="1"/>
  <c r="M9" i="5"/>
  <c r="L9" i="5"/>
  <c r="AJ71" i="3"/>
  <c r="AJ72" i="3"/>
  <c r="B72" i="3"/>
  <c r="M10" i="5"/>
  <c r="L10" i="5"/>
  <c r="B70" i="3"/>
  <c r="M8" i="5"/>
  <c r="L8" i="5"/>
  <c r="AJ70" i="3"/>
  <c r="B73" i="3"/>
  <c r="L11" i="5"/>
  <c r="M11" i="5"/>
  <c r="AJ73" i="3"/>
  <c r="AJ74" i="3"/>
  <c r="B74" i="3"/>
  <c r="M12" i="5"/>
  <c r="L12" i="5"/>
  <c r="B69" i="3"/>
  <c r="L7" i="5"/>
  <c r="M7" i="5"/>
  <c r="AJ69" i="3"/>
  <c r="L13" i="5"/>
  <c r="B75" i="3"/>
  <c r="M13" i="5"/>
  <c r="AJ75" i="3"/>
  <c r="M14" i="5"/>
  <c r="B76" i="3"/>
  <c r="AJ76" i="3"/>
  <c r="L14" i="5"/>
</calcChain>
</file>

<file path=xl/sharedStrings.xml><?xml version="1.0" encoding="utf-8"?>
<sst xmlns="http://schemas.openxmlformats.org/spreadsheetml/2006/main" count="542" uniqueCount="261">
  <si>
    <t>è</t>
  </si>
  <si>
    <t>Beløb</t>
  </si>
  <si>
    <t>Tjenesterejse</t>
  </si>
  <si>
    <t>-</t>
  </si>
  <si>
    <t>:</t>
  </si>
  <si>
    <t>Morgenmad</t>
  </si>
  <si>
    <t>Frokost</t>
  </si>
  <si>
    <t>Middag</t>
  </si>
  <si>
    <t>Total</t>
  </si>
  <si>
    <t>Aarhus Universitet</t>
  </si>
  <si>
    <t>DKK</t>
  </si>
  <si>
    <t>Belgien</t>
  </si>
  <si>
    <t>Bulgarien</t>
  </si>
  <si>
    <t>Cypern</t>
  </si>
  <si>
    <t>Estland</t>
  </si>
  <si>
    <t>Finland</t>
  </si>
  <si>
    <t>Frankrig</t>
  </si>
  <si>
    <t>Grækenland</t>
  </si>
  <si>
    <t>Grønland</t>
  </si>
  <si>
    <t>Holland</t>
  </si>
  <si>
    <t>Irland</t>
  </si>
  <si>
    <t>Island</t>
  </si>
  <si>
    <t>Italien</t>
  </si>
  <si>
    <t>Letland</t>
  </si>
  <si>
    <t>Litauen</t>
  </si>
  <si>
    <t>Luxembourg</t>
  </si>
  <si>
    <t>Norge</t>
  </si>
  <si>
    <t>Polen</t>
  </si>
  <si>
    <t>Portugal</t>
  </si>
  <si>
    <t>Rumænien</t>
  </si>
  <si>
    <t>Rusland</t>
  </si>
  <si>
    <t>Schweiz</t>
  </si>
  <si>
    <t>Slovakiet</t>
  </si>
  <si>
    <t>Spanien</t>
  </si>
  <si>
    <t>Storbritannien</t>
  </si>
  <si>
    <t>Sverige</t>
  </si>
  <si>
    <t>Tjekkiet</t>
  </si>
  <si>
    <t>Tyrkiet</t>
  </si>
  <si>
    <t>Tyskland</t>
  </si>
  <si>
    <t>Ukraine</t>
  </si>
  <si>
    <t>Ungarn</t>
  </si>
  <si>
    <t>Østrig</t>
  </si>
  <si>
    <t>Elfenbenskysten</t>
  </si>
  <si>
    <t>Kenya</t>
  </si>
  <si>
    <t>Marokko</t>
  </si>
  <si>
    <t>Mozambique</t>
  </si>
  <si>
    <t>Sydafrika</t>
  </si>
  <si>
    <t>Tanzania</t>
  </si>
  <si>
    <t>Tunesien</t>
  </si>
  <si>
    <t>Zambia</t>
  </si>
  <si>
    <t>Zimbabwe</t>
  </si>
  <si>
    <t>Argentina</t>
  </si>
  <si>
    <t>Bolivia</t>
  </si>
  <si>
    <t>Brasilien</t>
  </si>
  <si>
    <t>Canada</t>
  </si>
  <si>
    <t>Chile</t>
  </si>
  <si>
    <t>Colombia</t>
  </si>
  <si>
    <t>Cuba</t>
  </si>
  <si>
    <t>Mexico</t>
  </si>
  <si>
    <t>USA</t>
  </si>
  <si>
    <t>Venezuela</t>
  </si>
  <si>
    <t>Bangladesh</t>
  </si>
  <si>
    <t>Bhutan</t>
  </si>
  <si>
    <t>Filippinerne</t>
  </si>
  <si>
    <t>Indien</t>
  </si>
  <si>
    <t>Indonesien</t>
  </si>
  <si>
    <t>Iran</t>
  </si>
  <si>
    <t>Israel</t>
  </si>
  <si>
    <t>Japan</t>
  </si>
  <si>
    <t>Jordan</t>
  </si>
  <si>
    <t>Kina</t>
  </si>
  <si>
    <t>Kuwait</t>
  </si>
  <si>
    <t>Malaysia</t>
  </si>
  <si>
    <t>Nepal</t>
  </si>
  <si>
    <t>Oman</t>
  </si>
  <si>
    <t>Pakistan</t>
  </si>
  <si>
    <t>Qatar</t>
  </si>
  <si>
    <t>Singapore</t>
  </si>
  <si>
    <t>Syrien</t>
  </si>
  <si>
    <t>Thailand</t>
  </si>
  <si>
    <t>Australien</t>
  </si>
  <si>
    <t>Hong Kong</t>
  </si>
  <si>
    <t>New Zealand</t>
  </si>
  <si>
    <t>Land</t>
  </si>
  <si>
    <t>2008-sats</t>
  </si>
  <si>
    <t>Danmark</t>
  </si>
  <si>
    <t>Udland</t>
  </si>
  <si>
    <t>Transportgodtgørelse, kr</t>
  </si>
  <si>
    <t>Måltid</t>
  </si>
  <si>
    <t>Udokumenteret nattillæg, kr</t>
  </si>
  <si>
    <t>Ureduceret sats</t>
  </si>
  <si>
    <t>Måltidsfradrag, % af dagpenge</t>
  </si>
  <si>
    <t>Type</t>
  </si>
  <si>
    <t>Dagpengegodtgørelse, kr</t>
  </si>
  <si>
    <t>Australia</t>
  </si>
  <si>
    <t xml:space="preserve">Austria </t>
  </si>
  <si>
    <t>Belgium</t>
  </si>
  <si>
    <t>Brazil</t>
  </si>
  <si>
    <t>Bulgaria</t>
  </si>
  <si>
    <t>China</t>
  </si>
  <si>
    <t>Côte d'Ivoire</t>
  </si>
  <si>
    <t>Cyprus</t>
  </si>
  <si>
    <t>Czech Republic</t>
  </si>
  <si>
    <t>Denmark</t>
  </si>
  <si>
    <t>Egypten</t>
  </si>
  <si>
    <t>Egypt, Arab Rep.</t>
  </si>
  <si>
    <t xml:space="preserve">Estonia </t>
  </si>
  <si>
    <t>France</t>
  </si>
  <si>
    <t>Germany</t>
  </si>
  <si>
    <t>Great Brittain</t>
  </si>
  <si>
    <t>Greece</t>
  </si>
  <si>
    <t>Greenland</t>
  </si>
  <si>
    <t>Hong Kong, China</t>
  </si>
  <si>
    <t>Hungary</t>
  </si>
  <si>
    <t>Iceland</t>
  </si>
  <si>
    <t>India</t>
  </si>
  <si>
    <t>Indonesia</t>
  </si>
  <si>
    <t>Iran, Islamic Rep.</t>
  </si>
  <si>
    <t>Ireland</t>
  </si>
  <si>
    <t>Italy</t>
  </si>
  <si>
    <t>Sydkorea</t>
  </si>
  <si>
    <t>Korea, Rep.</t>
  </si>
  <si>
    <t xml:space="preserve">Latvia </t>
  </si>
  <si>
    <t xml:space="preserve">Lithuania </t>
  </si>
  <si>
    <t>Morocco</t>
  </si>
  <si>
    <t>Netherlands</t>
  </si>
  <si>
    <t>Norway</t>
  </si>
  <si>
    <t>Philippines</t>
  </si>
  <si>
    <t>Poland</t>
  </si>
  <si>
    <t>Romania</t>
  </si>
  <si>
    <t xml:space="preserve">Russian Federation </t>
  </si>
  <si>
    <t>Saudi-Arabien</t>
  </si>
  <si>
    <t>Saudi Arabia</t>
  </si>
  <si>
    <t>Slovak Republic</t>
  </si>
  <si>
    <t>South Africa</t>
  </si>
  <si>
    <t>Spain</t>
  </si>
  <si>
    <t>Sweden</t>
  </si>
  <si>
    <t>Switzerland</t>
  </si>
  <si>
    <t>Syrian Arab Republic</t>
  </si>
  <si>
    <t xml:space="preserve">Tanzania </t>
  </si>
  <si>
    <t>Tunisia</t>
  </si>
  <si>
    <t>Turkey</t>
  </si>
  <si>
    <t xml:space="preserve">Ukraine </t>
  </si>
  <si>
    <t>Forenede Arabiske Emirater</t>
  </si>
  <si>
    <t>United Arab Emirates</t>
  </si>
  <si>
    <t>United States</t>
  </si>
  <si>
    <t>Venezuela, RB</t>
  </si>
  <si>
    <t>Andet land</t>
  </si>
  <si>
    <t>Other Country</t>
  </si>
  <si>
    <t>Country</t>
  </si>
  <si>
    <t>Satser</t>
  </si>
  <si>
    <t>Artskonto</t>
  </si>
  <si>
    <t>C. Taxi:</t>
  </si>
  <si>
    <t>Brugte Konti</t>
  </si>
  <si>
    <t>3222-m</t>
  </si>
  <si>
    <t>3222-u</t>
  </si>
  <si>
    <t>Total i DKK</t>
  </si>
  <si>
    <t>Dansk</t>
  </si>
  <si>
    <t>English</t>
  </si>
  <si>
    <t>Name of bank:</t>
  </si>
  <si>
    <t>BIC No.:</t>
  </si>
  <si>
    <t>IBAN No.:</t>
  </si>
  <si>
    <t>Account:</t>
  </si>
  <si>
    <t>Account Currency:</t>
  </si>
  <si>
    <t>Email:</t>
  </si>
  <si>
    <t>incl. or</t>
  </si>
  <si>
    <t>(miles / 1,609 = km)</t>
  </si>
  <si>
    <t>Sprog/Language:</t>
  </si>
  <si>
    <t>Vælg / Pick</t>
  </si>
  <si>
    <t>DK</t>
  </si>
  <si>
    <t>Eng</t>
  </si>
  <si>
    <t>Navn:</t>
  </si>
  <si>
    <t>Ja</t>
  </si>
  <si>
    <t>Nej</t>
  </si>
  <si>
    <t>No</t>
  </si>
  <si>
    <t>Yes</t>
  </si>
  <si>
    <t>Fejl:</t>
  </si>
  <si>
    <t>Type:</t>
  </si>
  <si>
    <t>VLOOKUP værdi type</t>
  </si>
  <si>
    <t>Rejseafregning</t>
  </si>
  <si>
    <t>Forskud</t>
  </si>
  <si>
    <t>Travel Statement</t>
  </si>
  <si>
    <t>Advance</t>
  </si>
  <si>
    <t>værdi type true?</t>
  </si>
  <si>
    <t>Valuta 2</t>
  </si>
  <si>
    <t>Valuta 3</t>
  </si>
  <si>
    <t>Valuta værdi</t>
  </si>
  <si>
    <t>A</t>
  </si>
  <si>
    <t>B</t>
  </si>
  <si>
    <t>C</t>
  </si>
  <si>
    <t>D</t>
  </si>
  <si>
    <t>E</t>
  </si>
  <si>
    <t>F</t>
  </si>
  <si>
    <t>G</t>
  </si>
  <si>
    <t>H</t>
  </si>
  <si>
    <t>Veksel kurs</t>
  </si>
  <si>
    <t>Skal fremmed valuta benyttes</t>
  </si>
  <si>
    <t>Beregnet kurs</t>
  </si>
  <si>
    <t>Fejlsikret kurs</t>
  </si>
  <si>
    <t>SEK</t>
  </si>
  <si>
    <t>NOK</t>
  </si>
  <si>
    <t>GBP</t>
  </si>
  <si>
    <t>USD</t>
  </si>
  <si>
    <t>EUR</t>
  </si>
  <si>
    <t>Bil</t>
  </si>
  <si>
    <t>Time/dag</t>
  </si>
  <si>
    <t>Mad fradrag</t>
  </si>
  <si>
    <t>Udok</t>
  </si>
  <si>
    <t>Valutakoder</t>
  </si>
  <si>
    <t>AUD</t>
  </si>
  <si>
    <t>BGL</t>
  </si>
  <si>
    <t>CAD</t>
  </si>
  <si>
    <t>EEK</t>
  </si>
  <si>
    <t>PHP</t>
  </si>
  <si>
    <t>HKD</t>
  </si>
  <si>
    <t>IDR</t>
  </si>
  <si>
    <t>JPY</t>
  </si>
  <si>
    <t>CNY</t>
  </si>
  <si>
    <t>HRK</t>
  </si>
  <si>
    <t>LVL</t>
  </si>
  <si>
    <t>LTL</t>
  </si>
  <si>
    <t>MYR</t>
  </si>
  <si>
    <t>NZD</t>
  </si>
  <si>
    <t>PLN</t>
  </si>
  <si>
    <t>RON</t>
  </si>
  <si>
    <t>RUB</t>
  </si>
  <si>
    <t>CHF</t>
  </si>
  <si>
    <t>SGD</t>
  </si>
  <si>
    <t>ZAR</t>
  </si>
  <si>
    <t>KRW</t>
  </si>
  <si>
    <t>THB</t>
  </si>
  <si>
    <t>CZK</t>
  </si>
  <si>
    <t>TRY</t>
  </si>
  <si>
    <t>HUF</t>
  </si>
  <si>
    <t>Other</t>
  </si>
  <si>
    <t>Note: conversion into</t>
  </si>
  <si>
    <t>is done with the conversion rate</t>
  </si>
  <si>
    <t>=</t>
  </si>
  <si>
    <t>Set currency rate</t>
  </si>
  <si>
    <t>Time- dagepenge satser</t>
  </si>
  <si>
    <t>Advarsler:</t>
  </si>
  <si>
    <t>Engelsk</t>
  </si>
  <si>
    <t>Bemærk: der kan ikke udbetales både time/dag- penge og fortæringsudgifter</t>
  </si>
  <si>
    <t>Manglende valuta:</t>
  </si>
  <si>
    <t>Note: you cannot receive reimbursement for consumption as well as per diem</t>
  </si>
  <si>
    <t>Mad kurs</t>
  </si>
  <si>
    <t>2010-sats</t>
  </si>
  <si>
    <t>Aktivitet/sagsopgave</t>
  </si>
  <si>
    <t>Projekt/sag</t>
  </si>
  <si>
    <t>Moms</t>
  </si>
  <si>
    <t>*EU</t>
  </si>
  <si>
    <t>* Ved EU-projekt sættes "X"</t>
  </si>
  <si>
    <t>Main Area</t>
  </si>
  <si>
    <t>ST</t>
  </si>
  <si>
    <t>ARTS</t>
  </si>
  <si>
    <t>HE</t>
  </si>
  <si>
    <t>BSS</t>
  </si>
  <si>
    <t>ADN</t>
  </si>
  <si>
    <t>(dd.mm.yyyy)</t>
  </si>
  <si>
    <t>X</t>
  </si>
  <si>
    <t>Time- dagpengebeløb på DKK 200,- godkendt, KV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</si>
</sst>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0&quot;:&quot;00"/>
    <numFmt numFmtId="165" formatCode="&quot;km at&quot;\ 0.00"/>
    <numFmt numFmtId="166" formatCode="00"/>
    <numFmt numFmtId="167" formatCode="&quot;km á&quot;\ #.##\ &quot;kr&quot;"/>
    <numFmt numFmtId="168" formatCode="&quot;á&quot;\ #.00\ &quot;kr&quot;"/>
    <numFmt numFmtId="169" formatCode="000000\-0000"/>
    <numFmt numFmtId="170" formatCode="dd/mm/yy;@"/>
  </numFmts>
  <fonts count="27" x14ac:knownFonts="1">
    <font>
      <sz val="8"/>
      <name val="Verdana"/>
    </font>
    <font>
      <sz val="8"/>
      <name val="Verdana"/>
    </font>
    <font>
      <sz val="8"/>
      <name val="Verdana"/>
      <family val="2"/>
    </font>
    <font>
      <sz val="8"/>
      <name val="Wingdings"/>
      <charset val="2"/>
    </font>
    <font>
      <b/>
      <sz val="8"/>
      <name val="Verdana"/>
      <family val="2"/>
    </font>
    <font>
      <u/>
      <sz val="8"/>
      <color indexed="12"/>
      <name val="Verdana"/>
      <family val="2"/>
    </font>
    <font>
      <b/>
      <sz val="12"/>
      <name val="Verdana"/>
      <family val="2"/>
    </font>
    <font>
      <i/>
      <sz val="8"/>
      <name val="Verdana"/>
      <family val="2"/>
    </font>
    <font>
      <b/>
      <i/>
      <sz val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b/>
      <sz val="11"/>
      <name val="Arial"/>
      <family val="2"/>
    </font>
    <font>
      <sz val="8"/>
      <color indexed="9"/>
      <name val="Verdana"/>
      <family val="2"/>
    </font>
    <font>
      <sz val="8"/>
      <color indexed="9"/>
      <name val="Verdana"/>
      <family val="2"/>
    </font>
    <font>
      <sz val="10"/>
      <color indexed="9"/>
      <name val="Verdana"/>
      <family val="2"/>
    </font>
    <font>
      <b/>
      <i/>
      <sz val="10"/>
      <color indexed="9"/>
      <name val="Verdana"/>
      <family val="2"/>
    </font>
    <font>
      <sz val="8"/>
      <color theme="0"/>
      <name val="Verdana"/>
      <family val="2"/>
    </font>
    <font>
      <sz val="8"/>
      <color rgb="FFFF0000"/>
      <name val="Verdana"/>
      <family val="2"/>
    </font>
    <font>
      <sz val="10"/>
      <color theme="0"/>
      <name val="Verdana"/>
      <family val="2"/>
    </font>
    <font>
      <b/>
      <sz val="10"/>
      <color rgb="FFFF0000"/>
      <name val="Verdana"/>
      <family val="2"/>
    </font>
    <font>
      <b/>
      <sz val="8"/>
      <color rgb="FFFF0000"/>
      <name val="Verdana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sz val="8"/>
      <color theme="0" tint="-0.249977111117893"/>
      <name val="Verdana"/>
      <family val="2"/>
    </font>
    <font>
      <sz val="9"/>
      <color rgb="FFFF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55"/>
      </top>
      <bottom/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79">
    <xf numFmtId="0" fontId="0" fillId="0" borderId="0" xfId="0"/>
    <xf numFmtId="0" fontId="0" fillId="0" borderId="0" xfId="0" applyAlignment="1" applyProtection="1">
      <alignment vertical="center"/>
    </xf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2" fillId="0" borderId="0" xfId="0" applyFont="1" applyProtection="1"/>
    <xf numFmtId="0" fontId="14" fillId="0" borderId="0" xfId="0" applyFont="1" applyAlignment="1" applyProtection="1">
      <alignment vertical="center"/>
    </xf>
    <xf numFmtId="0" fontId="2" fillId="0" borderId="0" xfId="0" applyFont="1"/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4" fontId="2" fillId="0" borderId="0" xfId="0" applyNumberFormat="1" applyFont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Protection="1"/>
    <xf numFmtId="0" fontId="2" fillId="0" borderId="0" xfId="0" applyFont="1" applyBorder="1" applyAlignment="1" applyProtection="1">
      <alignment horizontal="center" vertical="center"/>
      <protection hidden="1"/>
    </xf>
    <xf numFmtId="1" fontId="2" fillId="0" borderId="0" xfId="0" applyNumberFormat="1" applyFont="1" applyAlignment="1" applyProtection="1">
      <alignment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0" fillId="0" borderId="0" xfId="0" applyNumberFormat="1"/>
    <xf numFmtId="0" fontId="18" fillId="0" borderId="0" xfId="0" applyFont="1" applyFill="1" applyBorder="1" applyAlignment="1" applyProtection="1">
      <alignment vertical="center"/>
    </xf>
    <xf numFmtId="0" fontId="18" fillId="0" borderId="0" xfId="0" applyFont="1"/>
    <xf numFmtId="0" fontId="18" fillId="0" borderId="0" xfId="0" applyFont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2" fillId="0" borderId="1" xfId="0" applyFont="1" applyFill="1" applyBorder="1" applyAlignment="1" applyProtection="1">
      <alignment horizontal="left" vertical="center"/>
      <protection hidden="1"/>
    </xf>
    <xf numFmtId="0" fontId="2" fillId="0" borderId="2" xfId="0" applyFont="1" applyFill="1" applyBorder="1" applyAlignment="1" applyProtection="1">
      <alignment horizontal="left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Border="1" applyAlignment="1" applyProtection="1">
      <alignment horizontal="left" vertical="center"/>
      <protection hidden="1"/>
    </xf>
    <xf numFmtId="0" fontId="0" fillId="0" borderId="3" xfId="0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4" xfId="0" applyFont="1" applyFill="1" applyBorder="1" applyAlignment="1" applyProtection="1">
      <alignment horizontal="left" vertical="center"/>
      <protection locked="0" hidden="1"/>
    </xf>
    <xf numFmtId="0" fontId="2" fillId="0" borderId="5" xfId="0" applyFont="1" applyFill="1" applyBorder="1" applyAlignment="1" applyProtection="1">
      <alignment horizontal="left" vertical="center"/>
      <protection locked="0" hidden="1"/>
    </xf>
    <xf numFmtId="14" fontId="2" fillId="0" borderId="6" xfId="0" quotePrefix="1" applyNumberFormat="1" applyFont="1" applyFill="1" applyBorder="1" applyAlignment="1" applyProtection="1">
      <alignment horizontal="center" vertical="center"/>
      <protection hidden="1"/>
    </xf>
    <xf numFmtId="166" fontId="0" fillId="0" borderId="6" xfId="0" applyNumberFormat="1" applyFill="1" applyBorder="1" applyAlignment="1" applyProtection="1">
      <alignment horizontal="center" vertical="center"/>
      <protection locked="0" hidden="1"/>
    </xf>
    <xf numFmtId="164" fontId="2" fillId="0" borderId="6" xfId="0" applyNumberFormat="1" applyFont="1" applyFill="1" applyBorder="1" applyAlignment="1" applyProtection="1">
      <alignment horizontal="center" vertical="center"/>
      <protection hidden="1"/>
    </xf>
    <xf numFmtId="166" fontId="0" fillId="0" borderId="7" xfId="0" applyNumberFormat="1" applyFill="1" applyBorder="1" applyAlignment="1" applyProtection="1">
      <alignment horizontal="left" vertical="center"/>
      <protection locked="0" hidden="1"/>
    </xf>
    <xf numFmtId="0" fontId="2" fillId="0" borderId="8" xfId="0" applyFont="1" applyFill="1" applyBorder="1" applyAlignment="1" applyProtection="1">
      <alignment horizontal="left" vertical="center"/>
      <protection hidden="1"/>
    </xf>
    <xf numFmtId="0" fontId="2" fillId="0" borderId="1" xfId="0" applyFont="1" applyFill="1" applyBorder="1" applyAlignment="1" applyProtection="1">
      <alignment vertical="center"/>
      <protection hidden="1"/>
    </xf>
    <xf numFmtId="0" fontId="2" fillId="0" borderId="2" xfId="0" applyFont="1" applyFill="1" applyBorder="1" applyAlignment="1" applyProtection="1">
      <alignment vertical="center"/>
      <protection hidden="1"/>
    </xf>
    <xf numFmtId="0" fontId="4" fillId="0" borderId="8" xfId="0" applyFont="1" applyFill="1" applyBorder="1" applyAlignment="1" applyProtection="1">
      <alignment horizontal="left" vertical="top"/>
      <protection hidden="1"/>
    </xf>
    <xf numFmtId="0" fontId="4" fillId="0" borderId="0" xfId="0" applyFont="1" applyFill="1" applyBorder="1" applyAlignment="1" applyProtection="1">
      <alignment horizontal="left" vertical="top"/>
      <protection hidden="1"/>
    </xf>
    <xf numFmtId="0" fontId="4" fillId="0" borderId="9" xfId="0" applyFont="1" applyFill="1" applyBorder="1" applyAlignment="1" applyProtection="1">
      <alignment horizontal="left" vertical="top"/>
      <protection hidden="1"/>
    </xf>
    <xf numFmtId="0" fontId="2" fillId="0" borderId="9" xfId="0" applyFont="1" applyFill="1" applyBorder="1" applyAlignment="1" applyProtection="1">
      <alignment vertical="center"/>
      <protection hidden="1"/>
    </xf>
    <xf numFmtId="0" fontId="2" fillId="0" borderId="10" xfId="0" applyFont="1" applyFill="1" applyBorder="1" applyAlignment="1" applyProtection="1">
      <alignment vertical="center"/>
      <protection hidden="1"/>
    </xf>
    <xf numFmtId="0" fontId="2" fillId="0" borderId="9" xfId="0" applyFon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Alignment="1" applyProtection="1">
      <alignment horizontal="right" vertical="center"/>
      <protection hidden="1"/>
    </xf>
    <xf numFmtId="0" fontId="14" fillId="0" borderId="3" xfId="0" applyFont="1" applyFill="1" applyBorder="1" applyAlignment="1" applyProtection="1">
      <alignment horizontal="left" vertical="center"/>
      <protection locked="0" hidden="1"/>
    </xf>
    <xf numFmtId="0" fontId="7" fillId="0" borderId="3" xfId="0" applyFont="1" applyFill="1" applyBorder="1" applyAlignment="1" applyProtection="1">
      <alignment horizontal="left" vertical="center"/>
      <protection hidden="1"/>
    </xf>
    <xf numFmtId="0" fontId="7" fillId="0" borderId="3" xfId="0" applyFont="1" applyFill="1" applyBorder="1" applyAlignment="1" applyProtection="1">
      <alignment horizontal="left" vertical="center"/>
      <protection locked="0" hidden="1"/>
    </xf>
    <xf numFmtId="0" fontId="0" fillId="0" borderId="6" xfId="0" applyFill="1" applyBorder="1" applyAlignment="1" applyProtection="1">
      <alignment horizontal="left" vertical="center"/>
      <protection hidden="1"/>
    </xf>
    <xf numFmtId="0" fontId="14" fillId="0" borderId="6" xfId="0" applyFont="1" applyFill="1" applyBorder="1" applyAlignment="1" applyProtection="1">
      <alignment horizontal="left" vertical="center"/>
      <protection locked="0" hidden="1"/>
    </xf>
    <xf numFmtId="0" fontId="7" fillId="0" borderId="6" xfId="0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left" vertical="center"/>
      <protection locked="0"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167" fontId="2" fillId="0" borderId="3" xfId="0" applyNumberFormat="1" applyFont="1" applyFill="1" applyBorder="1" applyAlignment="1" applyProtection="1">
      <alignment vertical="center"/>
      <protection hidden="1"/>
    </xf>
    <xf numFmtId="165" fontId="2" fillId="0" borderId="3" xfId="0" applyNumberFormat="1" applyFont="1" applyFill="1" applyBorder="1" applyAlignment="1" applyProtection="1">
      <alignment vertical="center"/>
      <protection hidden="1"/>
    </xf>
    <xf numFmtId="167" fontId="2" fillId="0" borderId="0" xfId="0" applyNumberFormat="1" applyFont="1" applyFill="1" applyBorder="1" applyAlignment="1" applyProtection="1">
      <alignment horizontal="center" vertical="center"/>
      <protection hidden="1"/>
    </xf>
    <xf numFmtId="167" fontId="2" fillId="0" borderId="8" xfId="0" applyNumberFormat="1" applyFont="1" applyFill="1" applyBorder="1" applyAlignment="1" applyProtection="1">
      <alignment vertical="center"/>
      <protection hidden="1"/>
    </xf>
    <xf numFmtId="165" fontId="2" fillId="0" borderId="0" xfId="0" applyNumberFormat="1" applyFont="1" applyFill="1" applyBorder="1" applyAlignment="1" applyProtection="1">
      <alignment vertical="center"/>
      <protection hidden="1"/>
    </xf>
    <xf numFmtId="167" fontId="2" fillId="0" borderId="11" xfId="0" applyNumberFormat="1" applyFont="1" applyFill="1" applyBorder="1" applyAlignment="1" applyProtection="1">
      <alignment vertical="center"/>
      <protection hidden="1"/>
    </xf>
    <xf numFmtId="0" fontId="3" fillId="0" borderId="12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2" fillId="0" borderId="13" xfId="0" applyFont="1" applyFill="1" applyBorder="1" applyAlignment="1" applyProtection="1">
      <alignment horizontal="right" vertical="center"/>
      <protection hidden="1"/>
    </xf>
    <xf numFmtId="168" fontId="2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4" fontId="2" fillId="0" borderId="0" xfId="0" applyNumberFormat="1" applyFont="1" applyFill="1" applyBorder="1" applyAlignment="1" applyProtection="1">
      <alignment vertical="center"/>
      <protection hidden="1"/>
    </xf>
    <xf numFmtId="168" fontId="2" fillId="0" borderId="11" xfId="0" applyNumberFormat="1" applyFont="1" applyFill="1" applyBorder="1" applyAlignment="1" applyProtection="1">
      <alignment vertical="center"/>
      <protection hidden="1"/>
    </xf>
    <xf numFmtId="0" fontId="2" fillId="0" borderId="11" xfId="0" applyFont="1" applyFill="1" applyBorder="1" applyAlignment="1" applyProtection="1">
      <alignment vertical="center"/>
      <protection hidden="1"/>
    </xf>
    <xf numFmtId="168" fontId="0" fillId="0" borderId="12" xfId="0" applyNumberFormat="1" applyFill="1" applyBorder="1" applyAlignment="1" applyProtection="1">
      <alignment vertical="center"/>
      <protection hidden="1"/>
    </xf>
    <xf numFmtId="0" fontId="2" fillId="0" borderId="12" xfId="0" applyFont="1" applyFill="1" applyBorder="1" applyAlignment="1" applyProtection="1">
      <alignment vertical="center"/>
      <protection hidden="1"/>
    </xf>
    <xf numFmtId="168" fontId="0" fillId="0" borderId="6" xfId="0" applyNumberFormat="1" applyFill="1" applyBorder="1" applyAlignment="1" applyProtection="1">
      <alignment vertical="center"/>
      <protection hidden="1"/>
    </xf>
    <xf numFmtId="0" fontId="2" fillId="0" borderId="6" xfId="0" applyFont="1" applyFill="1" applyBorder="1" applyAlignment="1" applyProtection="1">
      <alignment vertical="center"/>
      <protection hidden="1"/>
    </xf>
    <xf numFmtId="0" fontId="2" fillId="0" borderId="1" xfId="0" applyFont="1" applyFill="1" applyBorder="1" applyAlignment="1" applyProtection="1">
      <alignment horizontal="right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7" fillId="0" borderId="2" xfId="0" applyFont="1" applyFill="1" applyBorder="1" applyAlignment="1" applyProtection="1">
      <alignment vertical="center"/>
      <protection hidden="1"/>
    </xf>
    <xf numFmtId="0" fontId="7" fillId="0" borderId="14" xfId="0" applyFont="1" applyFill="1" applyBorder="1" applyAlignment="1" applyProtection="1">
      <alignment vertical="center"/>
      <protection hidden="1"/>
    </xf>
    <xf numFmtId="0" fontId="11" fillId="0" borderId="0" xfId="0" applyFont="1" applyFill="1" applyAlignment="1" applyProtection="1">
      <alignment vertical="center"/>
      <protection hidden="1"/>
    </xf>
    <xf numFmtId="0" fontId="4" fillId="0" borderId="0" xfId="0" applyFont="1"/>
    <xf numFmtId="0" fontId="11" fillId="0" borderId="0" xfId="0" applyFont="1" applyAlignment="1" applyProtection="1">
      <alignment vertical="center"/>
    </xf>
    <xf numFmtId="0" fontId="7" fillId="0" borderId="2" xfId="0" applyFont="1" applyFill="1" applyBorder="1" applyAlignment="1" applyProtection="1">
      <alignment horizontal="center"/>
      <protection hidden="1"/>
    </xf>
    <xf numFmtId="0" fontId="7" fillId="0" borderId="2" xfId="0" applyFont="1" applyFill="1" applyBorder="1" applyAlignment="1" applyProtection="1">
      <alignment horizontal="left"/>
      <protection hidden="1"/>
    </xf>
    <xf numFmtId="0" fontId="7" fillId="0" borderId="15" xfId="0" applyFont="1" applyFill="1" applyBorder="1" applyAlignment="1" applyProtection="1">
      <alignment horizontal="right" vertical="top" indent="1"/>
      <protection hidden="1"/>
    </xf>
    <xf numFmtId="0" fontId="7" fillId="0" borderId="0" xfId="0" applyFont="1" applyFill="1" applyBorder="1" applyAlignment="1" applyProtection="1">
      <alignment horizontal="right" vertical="top" indent="1"/>
      <protection hidden="1"/>
    </xf>
    <xf numFmtId="0" fontId="7" fillId="0" borderId="9" xfId="0" applyFont="1" applyFill="1" applyBorder="1" applyAlignment="1" applyProtection="1">
      <alignment horizontal="right" vertical="top" indent="1"/>
      <protection hidden="1"/>
    </xf>
    <xf numFmtId="0" fontId="7" fillId="0" borderId="16" xfId="0" applyFont="1" applyFill="1" applyBorder="1" applyAlignment="1" applyProtection="1">
      <alignment horizontal="center" vertical="top"/>
      <protection hidden="1"/>
    </xf>
    <xf numFmtId="0" fontId="15" fillId="0" borderId="0" xfId="0" applyFont="1" applyProtection="1"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9" fillId="0" borderId="0" xfId="0" applyFont="1" applyAlignment="1" applyProtection="1">
      <alignment horizontal="left"/>
      <protection hidden="1"/>
    </xf>
    <xf numFmtId="0" fontId="0" fillId="0" borderId="9" xfId="0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1" fillId="0" borderId="14" xfId="0" applyFont="1" applyBorder="1" applyAlignment="1" applyProtection="1">
      <alignment horizontal="right"/>
      <protection hidden="1"/>
    </xf>
    <xf numFmtId="0" fontId="11" fillId="0" borderId="6" xfId="0" applyFont="1" applyFill="1" applyBorder="1" applyProtection="1">
      <protection hidden="1"/>
    </xf>
    <xf numFmtId="0" fontId="11" fillId="0" borderId="6" xfId="0" applyFont="1" applyFill="1" applyBorder="1" applyAlignment="1" applyProtection="1">
      <alignment horizontal="right"/>
      <protection hidden="1"/>
    </xf>
    <xf numFmtId="0" fontId="11" fillId="0" borderId="8" xfId="0" applyFont="1" applyBorder="1" applyProtection="1">
      <protection hidden="1"/>
    </xf>
    <xf numFmtId="0" fontId="11" fillId="0" borderId="0" xfId="0" applyFont="1" applyBorder="1" applyProtection="1">
      <protection hidden="1"/>
    </xf>
    <xf numFmtId="0" fontId="11" fillId="0" borderId="0" xfId="0" applyFont="1" applyBorder="1" applyAlignment="1" applyProtection="1">
      <alignment horizontal="right"/>
      <protection hidden="1"/>
    </xf>
    <xf numFmtId="0" fontId="11" fillId="0" borderId="9" xfId="0" applyFont="1" applyBorder="1" applyAlignment="1" applyProtection="1">
      <alignment horizontal="right"/>
      <protection hidden="1"/>
    </xf>
    <xf numFmtId="0" fontId="10" fillId="0" borderId="8" xfId="0" applyFont="1" applyBorder="1" applyProtection="1">
      <protection hidden="1"/>
    </xf>
    <xf numFmtId="0" fontId="10" fillId="0" borderId="0" xfId="0" applyFont="1" applyBorder="1" applyProtection="1">
      <protection hidden="1"/>
    </xf>
    <xf numFmtId="3" fontId="10" fillId="0" borderId="9" xfId="0" applyNumberFormat="1" applyFont="1" applyBorder="1" applyProtection="1">
      <protection hidden="1"/>
    </xf>
    <xf numFmtId="0" fontId="10" fillId="0" borderId="17" xfId="0" applyFont="1" applyBorder="1" applyProtection="1">
      <protection hidden="1"/>
    </xf>
    <xf numFmtId="4" fontId="10" fillId="0" borderId="3" xfId="0" applyNumberFormat="1" applyFont="1" applyBorder="1" applyProtection="1">
      <protection hidden="1"/>
    </xf>
    <xf numFmtId="4" fontId="10" fillId="0" borderId="16" xfId="0" applyNumberFormat="1" applyFont="1" applyBorder="1" applyProtection="1">
      <protection hidden="1"/>
    </xf>
    <xf numFmtId="0" fontId="10" fillId="0" borderId="18" xfId="0" applyFont="1" applyBorder="1" applyProtection="1">
      <protection hidden="1"/>
    </xf>
    <xf numFmtId="4" fontId="10" fillId="0" borderId="6" xfId="0" applyNumberFormat="1" applyFont="1" applyBorder="1" applyProtection="1">
      <protection hidden="1"/>
    </xf>
    <xf numFmtId="4" fontId="10" fillId="0" borderId="7" xfId="0" applyNumberFormat="1" applyFont="1" applyBorder="1" applyProtection="1">
      <protection hidden="1"/>
    </xf>
    <xf numFmtId="0" fontId="10" fillId="0" borderId="19" xfId="0" applyFont="1" applyBorder="1" applyProtection="1">
      <protection hidden="1"/>
    </xf>
    <xf numFmtId="0" fontId="10" fillId="0" borderId="20" xfId="0" applyFont="1" applyBorder="1" applyProtection="1">
      <protection hidden="1"/>
    </xf>
    <xf numFmtId="3" fontId="10" fillId="0" borderId="21" xfId="0" applyNumberFormat="1" applyFont="1" applyBorder="1" applyProtection="1">
      <protection hidden="1"/>
    </xf>
    <xf numFmtId="9" fontId="10" fillId="0" borderId="3" xfId="2" applyFont="1" applyBorder="1" applyProtection="1">
      <protection hidden="1"/>
    </xf>
    <xf numFmtId="9" fontId="10" fillId="0" borderId="16" xfId="2" applyFont="1" applyBorder="1" applyProtection="1">
      <protection hidden="1"/>
    </xf>
    <xf numFmtId="9" fontId="10" fillId="0" borderId="0" xfId="2" applyFont="1" applyBorder="1" applyProtection="1">
      <protection hidden="1"/>
    </xf>
    <xf numFmtId="9" fontId="10" fillId="0" borderId="9" xfId="2" applyFont="1" applyBorder="1" applyProtection="1">
      <protection hidden="1"/>
    </xf>
    <xf numFmtId="9" fontId="10" fillId="0" borderId="6" xfId="2" applyFont="1" applyBorder="1" applyProtection="1">
      <protection hidden="1"/>
    </xf>
    <xf numFmtId="9" fontId="10" fillId="0" borderId="7" xfId="2" applyFont="1" applyBorder="1" applyProtection="1">
      <protection hidden="1"/>
    </xf>
    <xf numFmtId="0" fontId="10" fillId="0" borderId="1" xfId="0" applyFont="1" applyBorder="1" applyProtection="1">
      <protection hidden="1"/>
    </xf>
    <xf numFmtId="4" fontId="10" fillId="0" borderId="2" xfId="0" applyNumberFormat="1" applyFont="1" applyBorder="1" applyProtection="1">
      <protection hidden="1"/>
    </xf>
    <xf numFmtId="4" fontId="10" fillId="0" borderId="14" xfId="0" applyNumberFormat="1" applyFont="1" applyBorder="1" applyProtection="1">
      <protection hidden="1"/>
    </xf>
    <xf numFmtId="0" fontId="12" fillId="0" borderId="8" xfId="0" applyFont="1" applyBorder="1" applyProtection="1">
      <protection hidden="1"/>
    </xf>
    <xf numFmtId="0" fontId="12" fillId="0" borderId="0" xfId="0" applyFont="1" applyBorder="1" applyProtection="1">
      <protection hidden="1"/>
    </xf>
    <xf numFmtId="3" fontId="12" fillId="0" borderId="7" xfId="0" applyNumberFormat="1" applyFont="1" applyBorder="1" applyProtection="1">
      <protection hidden="1"/>
    </xf>
    <xf numFmtId="0" fontId="16" fillId="0" borderId="3" xfId="0" applyFont="1" applyBorder="1" applyProtection="1">
      <protection hidden="1"/>
    </xf>
    <xf numFmtId="0" fontId="16" fillId="0" borderId="0" xfId="0" applyFont="1" applyBorder="1" applyProtection="1">
      <protection hidden="1"/>
    </xf>
    <xf numFmtId="0" fontId="17" fillId="0" borderId="0" xfId="0" applyFont="1" applyBorder="1" applyProtection="1">
      <protection hidden="1"/>
    </xf>
    <xf numFmtId="0" fontId="7" fillId="0" borderId="14" xfId="0" applyFont="1" applyFill="1" applyBorder="1" applyAlignment="1" applyProtection="1">
      <alignment horizontal="center" vertical="top"/>
      <protection hidden="1"/>
    </xf>
    <xf numFmtId="0" fontId="0" fillId="0" borderId="17" xfId="0" applyBorder="1"/>
    <xf numFmtId="0" fontId="0" fillId="0" borderId="3" xfId="0" applyBorder="1"/>
    <xf numFmtId="0" fontId="2" fillId="0" borderId="3" xfId="0" applyFont="1" applyBorder="1"/>
    <xf numFmtId="0" fontId="0" fillId="0" borderId="16" xfId="0" applyBorder="1"/>
    <xf numFmtId="0" fontId="2" fillId="0" borderId="8" xfId="0" applyFont="1" applyBorder="1"/>
    <xf numFmtId="0" fontId="0" fillId="0" borderId="0" xfId="0" applyBorder="1"/>
    <xf numFmtId="0" fontId="0" fillId="0" borderId="9" xfId="0" applyBorder="1"/>
    <xf numFmtId="0" fontId="0" fillId="0" borderId="18" xfId="0" applyBorder="1"/>
    <xf numFmtId="0" fontId="0" fillId="0" borderId="6" xfId="0" applyBorder="1"/>
    <xf numFmtId="0" fontId="0" fillId="0" borderId="7" xfId="0" applyBorder="1"/>
    <xf numFmtId="0" fontId="0" fillId="0" borderId="6" xfId="0" applyBorder="1" applyAlignment="1" applyProtection="1">
      <alignment horizontal="center" vertical="center"/>
      <protection hidden="1"/>
    </xf>
    <xf numFmtId="0" fontId="18" fillId="0" borderId="6" xfId="0" applyFont="1" applyBorder="1" applyAlignment="1" applyProtection="1">
      <alignment horizontal="center" vertical="center"/>
      <protection hidden="1"/>
    </xf>
    <xf numFmtId="0" fontId="18" fillId="0" borderId="6" xfId="0" applyFont="1" applyBorder="1" applyAlignment="1" applyProtection="1">
      <alignment horizontal="left" vertical="center"/>
      <protection hidden="1"/>
    </xf>
    <xf numFmtId="0" fontId="18" fillId="0" borderId="6" xfId="0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Protection="1">
      <protection hidden="1"/>
    </xf>
    <xf numFmtId="3" fontId="20" fillId="0" borderId="0" xfId="0" applyNumberFormat="1" applyFont="1" applyBorder="1" applyProtection="1">
      <protection hidden="1"/>
    </xf>
    <xf numFmtId="0" fontId="21" fillId="0" borderId="0" xfId="0" applyFont="1" applyAlignment="1" applyProtection="1">
      <alignment vertical="center"/>
    </xf>
    <xf numFmtId="0" fontId="0" fillId="0" borderId="17" xfId="0" applyFill="1" applyBorder="1" applyAlignment="1" applyProtection="1">
      <alignment vertical="center"/>
      <protection hidden="1"/>
    </xf>
    <xf numFmtId="0" fontId="0" fillId="0" borderId="9" xfId="0" applyFill="1" applyBorder="1" applyAlignment="1" applyProtection="1">
      <alignment vertical="center"/>
      <protection hidden="1"/>
    </xf>
    <xf numFmtId="0" fontId="22" fillId="0" borderId="3" xfId="0" applyFont="1" applyFill="1" applyBorder="1" applyAlignment="1" applyProtection="1">
      <alignment vertical="center"/>
      <protection hidden="1"/>
    </xf>
    <xf numFmtId="0" fontId="4" fillId="0" borderId="3" xfId="0" applyFont="1" applyFill="1" applyBorder="1" applyAlignment="1" applyProtection="1">
      <alignment vertical="center"/>
      <protection hidden="1"/>
    </xf>
    <xf numFmtId="0" fontId="4" fillId="0" borderId="16" xfId="0" applyFont="1" applyFill="1" applyBorder="1" applyAlignment="1" applyProtection="1">
      <alignment vertical="center"/>
      <protection hidden="1"/>
    </xf>
    <xf numFmtId="0" fontId="0" fillId="0" borderId="23" xfId="0" applyFill="1" applyBorder="1" applyAlignment="1" applyProtection="1">
      <alignment vertical="center"/>
      <protection locked="0" hidden="1"/>
    </xf>
    <xf numFmtId="0" fontId="0" fillId="0" borderId="14" xfId="0" applyFill="1" applyBorder="1" applyAlignment="1" applyProtection="1">
      <alignment vertical="center"/>
      <protection locked="0" hidden="1"/>
    </xf>
    <xf numFmtId="0" fontId="2" fillId="0" borderId="1" xfId="0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Fill="1" applyBorder="1" applyAlignment="1" applyProtection="1">
      <alignment horizontal="center" vertical="center"/>
      <protection locked="0"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3" xfId="0" applyFill="1" applyBorder="1" applyAlignment="1" applyProtection="1">
      <alignment horizontal="left" vertical="center"/>
      <protection hidden="1"/>
    </xf>
    <xf numFmtId="4" fontId="0" fillId="0" borderId="1" xfId="0" applyNumberFormat="1" applyFill="1" applyBorder="1" applyAlignment="1" applyProtection="1">
      <alignment horizontal="right" vertical="center"/>
      <protection hidden="1"/>
    </xf>
    <xf numFmtId="4" fontId="0" fillId="0" borderId="2" xfId="0" applyNumberFormat="1" applyFill="1" applyBorder="1" applyAlignment="1" applyProtection="1">
      <alignment horizontal="right" vertical="center"/>
      <protection hidden="1"/>
    </xf>
    <xf numFmtId="4" fontId="0" fillId="0" borderId="14" xfId="0" applyNumberFormat="1" applyFill="1" applyBorder="1" applyAlignment="1" applyProtection="1">
      <alignment horizontal="right" vertical="center"/>
      <protection hidden="1"/>
    </xf>
    <xf numFmtId="14" fontId="0" fillId="0" borderId="6" xfId="0" applyNumberFormat="1" applyFill="1" applyBorder="1" applyAlignment="1" applyProtection="1">
      <alignment horizontal="left" vertical="center"/>
      <protection hidden="1"/>
    </xf>
    <xf numFmtId="0" fontId="21" fillId="0" borderId="1" xfId="0" applyFont="1" applyFill="1" applyBorder="1" applyAlignment="1" applyProtection="1">
      <alignment horizontal="center" vertical="center"/>
      <protection hidden="1"/>
    </xf>
    <xf numFmtId="0" fontId="11" fillId="0" borderId="14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0" fillId="0" borderId="14" xfId="0" applyFill="1" applyBorder="1" applyAlignment="1" applyProtection="1">
      <alignment horizontal="center" vertical="center"/>
      <protection hidden="1"/>
    </xf>
    <xf numFmtId="0" fontId="22" fillId="0" borderId="3" xfId="0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1" fontId="2" fillId="0" borderId="1" xfId="0" applyNumberFormat="1" applyFont="1" applyFill="1" applyBorder="1" applyAlignment="1" applyProtection="1">
      <alignment horizontal="center" vertical="center"/>
      <protection hidden="1"/>
    </xf>
    <xf numFmtId="1" fontId="2" fillId="0" borderId="2" xfId="0" applyNumberFormat="1" applyFont="1" applyFill="1" applyBorder="1" applyAlignment="1" applyProtection="1">
      <alignment horizontal="center" vertical="center"/>
      <protection hidden="1"/>
    </xf>
    <xf numFmtId="1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23" xfId="0" applyFill="1" applyBorder="1" applyAlignment="1" applyProtection="1">
      <alignment horizontal="center" vertical="center"/>
      <protection hidden="1"/>
    </xf>
    <xf numFmtId="4" fontId="0" fillId="0" borderId="23" xfId="0" applyNumberFormat="1" applyFill="1" applyBorder="1" applyAlignment="1" applyProtection="1">
      <alignment horizontal="right" vertical="center"/>
      <protection hidden="1"/>
    </xf>
    <xf numFmtId="0" fontId="0" fillId="0" borderId="23" xfId="0" applyFill="1" applyBorder="1" applyAlignment="1" applyProtection="1">
      <alignment horizontal="right" vertical="center"/>
      <protection hidden="1"/>
    </xf>
    <xf numFmtId="0" fontId="4" fillId="0" borderId="3" xfId="0" applyFont="1" applyFill="1" applyBorder="1" applyAlignment="1" applyProtection="1">
      <alignment horizontal="left" vertical="center"/>
      <protection hidden="1"/>
    </xf>
    <xf numFmtId="1" fontId="19" fillId="0" borderId="1" xfId="0" applyNumberFormat="1" applyFont="1" applyFill="1" applyBorder="1" applyAlignment="1" applyProtection="1">
      <alignment horizontal="center" vertical="center"/>
      <protection hidden="1"/>
    </xf>
    <xf numFmtId="1" fontId="19" fillId="0" borderId="2" xfId="0" applyNumberFormat="1" applyFont="1" applyFill="1" applyBorder="1" applyAlignment="1" applyProtection="1">
      <alignment horizontal="center" vertical="center"/>
      <protection hidden="1"/>
    </xf>
    <xf numFmtId="1" fontId="19" fillId="0" borderId="14" xfId="0" applyNumberFormat="1" applyFont="1" applyFill="1" applyBorder="1" applyAlignment="1" applyProtection="1">
      <alignment horizontal="center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hidden="1"/>
    </xf>
    <xf numFmtId="0" fontId="2" fillId="0" borderId="14" xfId="0" applyFont="1" applyFill="1" applyBorder="1" applyAlignment="1" applyProtection="1">
      <alignment horizontal="center" vertical="center"/>
      <protection hidden="1"/>
    </xf>
    <xf numFmtId="0" fontId="19" fillId="0" borderId="0" xfId="0" applyFont="1" applyFill="1" applyBorder="1" applyAlignment="1" applyProtection="1">
      <alignment horizontal="center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hidden="1"/>
    </xf>
    <xf numFmtId="4" fontId="0" fillId="0" borderId="2" xfId="0" applyNumberFormat="1" applyFill="1" applyBorder="1" applyAlignment="1" applyProtection="1">
      <alignment horizontal="right" vertical="center"/>
      <protection locked="0" hidden="1"/>
    </xf>
    <xf numFmtId="4" fontId="0" fillId="0" borderId="14" xfId="0" applyNumberFormat="1" applyFill="1" applyBorder="1" applyAlignment="1" applyProtection="1">
      <alignment horizontal="right" vertical="center"/>
      <protection locked="0" hidden="1"/>
    </xf>
    <xf numFmtId="0" fontId="2" fillId="0" borderId="0" xfId="0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7" fillId="0" borderId="2" xfId="0" applyFont="1" applyFill="1" applyBorder="1" applyAlignment="1" applyProtection="1">
      <alignment horizontal="right" vertical="center"/>
      <protection hidden="1"/>
    </xf>
    <xf numFmtId="0" fontId="2" fillId="0" borderId="8" xfId="0" applyFont="1" applyFill="1" applyBorder="1" applyAlignment="1" applyProtection="1">
      <alignment horizontal="left" vertical="center" indent="2"/>
      <protection hidden="1"/>
    </xf>
    <xf numFmtId="0" fontId="2" fillId="0" borderId="0" xfId="0" applyFont="1" applyFill="1" applyBorder="1" applyAlignment="1" applyProtection="1">
      <alignment horizontal="left" vertical="center" indent="2"/>
      <protection hidden="1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center" vertical="center"/>
      <protection hidden="1"/>
    </xf>
    <xf numFmtId="0" fontId="4" fillId="0" borderId="2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11" xfId="0" applyFont="1" applyFill="1" applyBorder="1" applyAlignment="1" applyProtection="1">
      <alignment horizontal="center" vertical="center"/>
      <protection hidden="1"/>
    </xf>
    <xf numFmtId="0" fontId="3" fillId="0" borderId="6" xfId="0" applyFont="1" applyFill="1" applyBorder="1" applyAlignment="1" applyProtection="1">
      <alignment horizontal="center" vertical="center"/>
      <protection hidden="1"/>
    </xf>
    <xf numFmtId="4" fontId="4" fillId="0" borderId="43" xfId="0" applyNumberFormat="1" applyFont="1" applyFill="1" applyBorder="1" applyAlignment="1" applyProtection="1">
      <alignment horizontal="right" vertical="center"/>
      <protection hidden="1"/>
    </xf>
    <xf numFmtId="4" fontId="4" fillId="0" borderId="2" xfId="0" applyNumberFormat="1" applyFont="1" applyFill="1" applyBorder="1" applyAlignment="1" applyProtection="1">
      <alignment horizontal="right" vertical="center"/>
      <protection hidden="1"/>
    </xf>
    <xf numFmtId="4" fontId="4" fillId="0" borderId="14" xfId="0" applyNumberFormat="1" applyFont="1" applyFill="1" applyBorder="1" applyAlignment="1" applyProtection="1">
      <alignment horizontal="right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right" vertical="center"/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0" fillId="0" borderId="9" xfId="0" applyFill="1" applyBorder="1" applyAlignment="1" applyProtection="1">
      <alignment horizontal="right" vertical="center"/>
      <protection hidden="1"/>
    </xf>
    <xf numFmtId="4" fontId="2" fillId="0" borderId="1" xfId="0" applyNumberFormat="1" applyFont="1" applyFill="1" applyBorder="1" applyAlignment="1" applyProtection="1">
      <alignment horizontal="center" vertical="center"/>
      <protection locked="0" hidden="1"/>
    </xf>
    <xf numFmtId="4" fontId="2" fillId="0" borderId="2" xfId="0" applyNumberFormat="1" applyFont="1" applyFill="1" applyBorder="1" applyAlignment="1" applyProtection="1">
      <alignment horizontal="center" vertical="center"/>
      <protection locked="0" hidden="1"/>
    </xf>
    <xf numFmtId="4" fontId="2" fillId="0" borderId="14" xfId="0" applyNumberFormat="1" applyFont="1" applyFill="1" applyBorder="1" applyAlignment="1" applyProtection="1">
      <alignment horizontal="center" vertical="center"/>
      <protection locked="0" hidden="1"/>
    </xf>
    <xf numFmtId="165" fontId="2" fillId="0" borderId="28" xfId="0" applyNumberFormat="1" applyFont="1" applyFill="1" applyBorder="1" applyAlignment="1" applyProtection="1">
      <alignment horizontal="center" vertical="center"/>
      <protection hidden="1"/>
    </xf>
    <xf numFmtId="165" fontId="2" fillId="0" borderId="9" xfId="0" applyNumberFormat="1" applyFont="1" applyFill="1" applyBorder="1" applyAlignment="1" applyProtection="1">
      <alignment horizontal="center" vertical="center"/>
      <protection hidden="1"/>
    </xf>
    <xf numFmtId="165" fontId="2" fillId="0" borderId="44" xfId="0" applyNumberFormat="1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right" vertical="center" indent="1"/>
      <protection hidden="1"/>
    </xf>
    <xf numFmtId="0" fontId="2" fillId="0" borderId="0" xfId="0" applyFont="1" applyFill="1" applyBorder="1" applyAlignment="1" applyProtection="1">
      <alignment horizontal="right" vertical="center" indent="1"/>
      <protection hidden="1"/>
    </xf>
    <xf numFmtId="0" fontId="2" fillId="0" borderId="9" xfId="0" applyFont="1" applyFill="1" applyBorder="1" applyAlignment="1" applyProtection="1">
      <alignment horizontal="right" vertical="center" indent="1"/>
      <protection hidden="1"/>
    </xf>
    <xf numFmtId="0" fontId="2" fillId="0" borderId="41" xfId="0" applyFont="1" applyFill="1" applyBorder="1" applyAlignment="1" applyProtection="1">
      <alignment horizontal="right" vertical="center" indent="1"/>
      <protection hidden="1"/>
    </xf>
    <xf numFmtId="0" fontId="2" fillId="0" borderId="6" xfId="0" applyFont="1" applyFill="1" applyBorder="1" applyAlignment="1" applyProtection="1">
      <alignment horizontal="right" vertical="center" indent="1"/>
      <protection hidden="1"/>
    </xf>
    <xf numFmtId="0" fontId="2" fillId="0" borderId="7" xfId="0" applyFont="1" applyFill="1" applyBorder="1" applyAlignment="1" applyProtection="1">
      <alignment horizontal="right" vertical="center" indent="1"/>
      <protection hidden="1"/>
    </xf>
    <xf numFmtId="4" fontId="2" fillId="0" borderId="30" xfId="0" applyNumberFormat="1" applyFont="1" applyFill="1" applyBorder="1" applyAlignment="1" applyProtection="1">
      <alignment horizontal="right" vertical="center"/>
      <protection locked="0"/>
    </xf>
    <xf numFmtId="4" fontId="0" fillId="0" borderId="31" xfId="0" applyNumberFormat="1" applyFill="1" applyBorder="1" applyAlignment="1" applyProtection="1">
      <alignment horizontal="right" vertical="center"/>
      <protection locked="0"/>
    </xf>
    <xf numFmtId="4" fontId="0" fillId="0" borderId="36" xfId="0" applyNumberFormat="1" applyFill="1" applyBorder="1" applyAlignment="1" applyProtection="1">
      <alignment horizontal="right" vertical="center"/>
      <protection locked="0"/>
    </xf>
    <xf numFmtId="4" fontId="0" fillId="0" borderId="33" xfId="0" applyNumberFormat="1" applyFill="1" applyBorder="1" applyAlignment="1" applyProtection="1">
      <alignment horizontal="right" vertical="center"/>
      <protection locked="0"/>
    </xf>
    <xf numFmtId="4" fontId="0" fillId="0" borderId="25" xfId="0" applyNumberFormat="1" applyFill="1" applyBorder="1" applyAlignment="1" applyProtection="1">
      <alignment horizontal="right" vertical="center"/>
      <protection locked="0"/>
    </xf>
    <xf numFmtId="4" fontId="0" fillId="0" borderId="26" xfId="0" applyNumberFormat="1" applyFill="1" applyBorder="1" applyAlignment="1" applyProtection="1">
      <alignment horizontal="right" vertical="center"/>
      <protection locked="0"/>
    </xf>
    <xf numFmtId="4" fontId="0" fillId="0" borderId="42" xfId="0" applyNumberFormat="1" applyFill="1" applyBorder="1" applyAlignment="1" applyProtection="1">
      <alignment horizontal="right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hidden="1"/>
    </xf>
    <xf numFmtId="0" fontId="2" fillId="0" borderId="10" xfId="0" applyFont="1" applyFill="1" applyBorder="1" applyAlignment="1" applyProtection="1">
      <alignment horizontal="center" vertical="center"/>
      <protection hidden="1"/>
    </xf>
    <xf numFmtId="4" fontId="0" fillId="0" borderId="27" xfId="0" applyNumberFormat="1" applyFill="1" applyBorder="1" applyAlignment="1" applyProtection="1">
      <alignment horizontal="right" vertical="center"/>
      <protection hidden="1"/>
    </xf>
    <xf numFmtId="4" fontId="0" fillId="0" borderId="3" xfId="0" applyNumberFormat="1" applyFill="1" applyBorder="1" applyAlignment="1" applyProtection="1">
      <alignment horizontal="right" vertical="center"/>
      <protection hidden="1"/>
    </xf>
    <xf numFmtId="4" fontId="0" fillId="0" borderId="16" xfId="0" applyNumberFormat="1" applyFill="1" applyBorder="1" applyAlignment="1" applyProtection="1">
      <alignment horizontal="right" vertical="center"/>
      <protection hidden="1"/>
    </xf>
    <xf numFmtId="0" fontId="2" fillId="0" borderId="6" xfId="0" quotePrefix="1" applyNumberFormat="1" applyFont="1" applyFill="1" applyBorder="1" applyAlignment="1" applyProtection="1">
      <alignment horizontal="left" vertical="center"/>
      <protection locked="0" hidden="1"/>
    </xf>
    <xf numFmtId="0" fontId="2" fillId="0" borderId="7" xfId="0" quotePrefix="1" applyNumberFormat="1" applyFont="1" applyFill="1" applyBorder="1" applyAlignment="1" applyProtection="1">
      <alignment horizontal="left" vertical="center"/>
      <protection locked="0" hidden="1"/>
    </xf>
    <xf numFmtId="0" fontId="2" fillId="0" borderId="31" xfId="0" applyFont="1" applyFill="1" applyBorder="1" applyAlignment="1" applyProtection="1">
      <alignment horizontal="left" vertical="center"/>
      <protection locked="0"/>
    </xf>
    <xf numFmtId="0" fontId="2" fillId="0" borderId="36" xfId="0" applyFont="1" applyFill="1" applyBorder="1" applyAlignment="1" applyProtection="1">
      <alignment horizontal="left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center" vertical="center"/>
      <protection hidden="1"/>
    </xf>
    <xf numFmtId="2" fontId="2" fillId="0" borderId="1" xfId="0" applyNumberFormat="1" applyFont="1" applyFill="1" applyBorder="1" applyAlignment="1" applyProtection="1">
      <alignment horizontal="center" vertical="center"/>
      <protection locked="0" hidden="1"/>
    </xf>
    <xf numFmtId="2" fontId="2" fillId="0" borderId="2" xfId="0" applyNumberFormat="1" applyFont="1" applyFill="1" applyBorder="1" applyAlignment="1" applyProtection="1">
      <alignment horizontal="center" vertical="center"/>
      <protection locked="0" hidden="1"/>
    </xf>
    <xf numFmtId="2" fontId="2" fillId="0" borderId="14" xfId="0" applyNumberFormat="1" applyFont="1" applyFill="1" applyBorder="1" applyAlignment="1" applyProtection="1">
      <alignment horizontal="center" vertical="center"/>
      <protection locked="0"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/>
      <protection hidden="1"/>
    </xf>
    <xf numFmtId="4" fontId="0" fillId="0" borderId="30" xfId="0" applyNumberFormat="1" applyFill="1" applyBorder="1" applyAlignment="1" applyProtection="1">
      <alignment horizontal="righ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0" fontId="2" fillId="0" borderId="30" xfId="0" applyFont="1" applyFill="1" applyBorder="1" applyAlignment="1" applyProtection="1">
      <alignment horizontal="left" vertical="center"/>
      <protection hidden="1"/>
    </xf>
    <xf numFmtId="0" fontId="2" fillId="0" borderId="31" xfId="0" applyFont="1" applyFill="1" applyBorder="1" applyAlignment="1" applyProtection="1">
      <alignment horizontal="left" vertical="center"/>
      <protection hidden="1"/>
    </xf>
    <xf numFmtId="4" fontId="0" fillId="0" borderId="29" xfId="0" applyNumberFormat="1" applyFill="1" applyBorder="1" applyAlignment="1" applyProtection="1">
      <alignment horizontal="right" vertical="center"/>
      <protection locked="0"/>
    </xf>
    <xf numFmtId="4" fontId="0" fillId="0" borderId="4" xfId="0" applyNumberFormat="1" applyFill="1" applyBorder="1" applyAlignment="1" applyProtection="1">
      <alignment horizontal="right" vertical="center"/>
      <protection locked="0"/>
    </xf>
    <xf numFmtId="4" fontId="0" fillId="0" borderId="39" xfId="0" applyNumberForma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 applyProtection="1">
      <alignment horizontal="left" vertical="center"/>
      <protection hidden="1"/>
    </xf>
    <xf numFmtId="0" fontId="2" fillId="0" borderId="16" xfId="0" applyFont="1" applyFill="1" applyBorder="1" applyAlignment="1" applyProtection="1">
      <alignment horizontal="left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4" fontId="0" fillId="0" borderId="18" xfId="0" applyNumberFormat="1" applyFill="1" applyBorder="1" applyAlignment="1" applyProtection="1">
      <alignment horizontal="right" vertical="center"/>
      <protection locked="0"/>
    </xf>
    <xf numFmtId="4" fontId="0" fillId="0" borderId="6" xfId="0" applyNumberFormat="1" applyFill="1" applyBorder="1" applyAlignment="1" applyProtection="1">
      <alignment horizontal="right" vertical="center"/>
      <protection locked="0"/>
    </xf>
    <xf numFmtId="4" fontId="0" fillId="0" borderId="7" xfId="0" applyNumberForma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ill="1" applyBorder="1" applyAlignment="1" applyProtection="1">
      <alignment horizontal="left" vertical="center"/>
      <protection locked="0"/>
    </xf>
    <xf numFmtId="0" fontId="0" fillId="0" borderId="9" xfId="0" applyFill="1" applyBorder="1" applyAlignment="1" applyProtection="1">
      <alignment horizontal="left" vertical="center"/>
      <protection locked="0"/>
    </xf>
    <xf numFmtId="4" fontId="0" fillId="0" borderId="8" xfId="0" applyNumberFormat="1" applyFill="1" applyBorder="1" applyAlignment="1" applyProtection="1">
      <alignment horizontal="right" vertical="center"/>
      <protection locked="0"/>
    </xf>
    <xf numFmtId="4" fontId="0" fillId="0" borderId="0" xfId="0" applyNumberFormat="1" applyFill="1" applyBorder="1" applyAlignment="1" applyProtection="1">
      <alignment horizontal="right" vertical="center"/>
      <protection locked="0"/>
    </xf>
    <xf numFmtId="4" fontId="0" fillId="0" borderId="9" xfId="0" applyNumberFormat="1" applyFill="1" applyBorder="1" applyAlignment="1" applyProtection="1">
      <alignment horizontal="right" vertical="center"/>
      <protection locked="0"/>
    </xf>
    <xf numFmtId="0" fontId="2" fillId="0" borderId="17" xfId="0" applyFont="1" applyFill="1" applyBorder="1" applyAlignment="1" applyProtection="1">
      <alignment horizontal="left" vertical="center"/>
      <protection hidden="1"/>
    </xf>
    <xf numFmtId="0" fontId="2" fillId="0" borderId="18" xfId="0" applyFont="1" applyFill="1" applyBorder="1" applyAlignment="1" applyProtection="1">
      <alignment horizontal="left" vertical="center"/>
      <protection hidden="1"/>
    </xf>
    <xf numFmtId="0" fontId="0" fillId="0" borderId="6" xfId="0" applyFill="1" applyBorder="1" applyAlignment="1" applyProtection="1">
      <alignment horizontal="left" vertical="center"/>
      <protection hidden="1"/>
    </xf>
    <xf numFmtId="0" fontId="7" fillId="0" borderId="6" xfId="0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left" vertical="center"/>
      <protection hidden="1"/>
    </xf>
    <xf numFmtId="4" fontId="0" fillId="0" borderId="17" xfId="0" applyNumberFormat="1" applyFill="1" applyBorder="1" applyAlignment="1" applyProtection="1">
      <alignment horizontal="right" vertical="center"/>
      <protection locked="0"/>
    </xf>
    <xf numFmtId="4" fontId="0" fillId="0" borderId="3" xfId="0" applyNumberFormat="1" applyFill="1" applyBorder="1" applyAlignment="1" applyProtection="1">
      <alignment horizontal="right" vertical="center"/>
      <protection locked="0"/>
    </xf>
    <xf numFmtId="4" fontId="0" fillId="0" borderId="16" xfId="0" applyNumberFormat="1" applyFill="1" applyBorder="1" applyAlignment="1" applyProtection="1">
      <alignment horizontal="right" vertical="center"/>
      <protection locked="0"/>
    </xf>
    <xf numFmtId="0" fontId="2" fillId="0" borderId="8" xfId="0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1" xfId="0" applyFont="1" applyFill="1" applyBorder="1" applyAlignment="1" applyProtection="1">
      <alignment horizontal="left" vertical="center"/>
      <protection hidden="1"/>
    </xf>
    <xf numFmtId="0" fontId="2" fillId="0" borderId="2" xfId="0" applyFont="1" applyFill="1" applyBorder="1" applyAlignment="1" applyProtection="1">
      <alignment horizontal="left" vertical="center"/>
      <protection hidden="1"/>
    </xf>
    <xf numFmtId="4" fontId="0" fillId="0" borderId="40" xfId="0" applyNumberFormat="1" applyFill="1" applyBorder="1" applyAlignment="1" applyProtection="1">
      <alignment horizontal="right" vertical="center"/>
      <protection locked="0"/>
    </xf>
    <xf numFmtId="4" fontId="0" fillId="0" borderId="24" xfId="0" applyNumberFormat="1" applyFill="1" applyBorder="1" applyAlignment="1" applyProtection="1">
      <alignment horizontal="right" vertical="center"/>
      <protection locked="0"/>
    </xf>
    <xf numFmtId="0" fontId="0" fillId="0" borderId="6" xfId="0" applyFill="1" applyBorder="1" applyAlignment="1" applyProtection="1">
      <alignment horizontal="right" vertical="center"/>
      <protection locked="0"/>
    </xf>
    <xf numFmtId="0" fontId="0" fillId="0" borderId="7" xfId="0" applyFill="1" applyBorder="1" applyAlignment="1" applyProtection="1">
      <alignment horizontal="right" vertical="center"/>
      <protection locked="0"/>
    </xf>
    <xf numFmtId="0" fontId="2" fillId="0" borderId="7" xfId="0" applyFont="1" applyFill="1" applyBorder="1" applyAlignment="1" applyProtection="1">
      <alignment horizontal="left" vertical="center"/>
      <protection hidden="1"/>
    </xf>
    <xf numFmtId="0" fontId="11" fillId="3" borderId="0" xfId="0" applyFont="1" applyFill="1" applyBorder="1" applyAlignment="1" applyProtection="1">
      <alignment horizontal="left" vertical="center" wrapText="1"/>
      <protection locked="0" hidden="1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0" fillId="0" borderId="18" xfId="0" applyFill="1" applyBorder="1" applyAlignment="1" applyProtection="1">
      <alignment vertical="center"/>
      <protection hidden="1"/>
    </xf>
    <xf numFmtId="0" fontId="0" fillId="0" borderId="6" xfId="0" applyFill="1" applyBorder="1" applyProtection="1">
      <protection hidden="1"/>
    </xf>
    <xf numFmtId="0" fontId="0" fillId="0" borderId="7" xfId="0" applyFill="1" applyBorder="1" applyProtection="1">
      <protection hidden="1"/>
    </xf>
    <xf numFmtId="0" fontId="0" fillId="0" borderId="17" xfId="0" applyFill="1" applyBorder="1" applyAlignment="1" applyProtection="1">
      <alignment vertical="center"/>
      <protection hidden="1"/>
    </xf>
    <xf numFmtId="0" fontId="0" fillId="0" borderId="3" xfId="0" applyFill="1" applyBorder="1" applyAlignment="1" applyProtection="1">
      <alignment vertical="center"/>
      <protection hidden="1"/>
    </xf>
    <xf numFmtId="0" fontId="0" fillId="0" borderId="16" xfId="0" applyFill="1" applyBorder="1" applyAlignment="1" applyProtection="1">
      <alignment vertical="center"/>
      <protection hidden="1"/>
    </xf>
    <xf numFmtId="0" fontId="0" fillId="0" borderId="6" xfId="0" applyFill="1" applyBorder="1" applyAlignment="1" applyProtection="1">
      <alignment vertical="center"/>
      <protection hidden="1"/>
    </xf>
    <xf numFmtId="0" fontId="0" fillId="0" borderId="7" xfId="0" applyFill="1" applyBorder="1" applyAlignment="1" applyProtection="1">
      <alignment vertical="center"/>
      <protection hidden="1"/>
    </xf>
    <xf numFmtId="0" fontId="4" fillId="0" borderId="17" xfId="0" applyFont="1" applyFill="1" applyBorder="1" applyAlignment="1" applyProtection="1">
      <alignment horizontal="left" vertical="top"/>
      <protection hidden="1"/>
    </xf>
    <xf numFmtId="0" fontId="4" fillId="0" borderId="3" xfId="0" applyFont="1" applyFill="1" applyBorder="1" applyAlignment="1" applyProtection="1">
      <alignment horizontal="left" vertical="top"/>
      <protection hidden="1"/>
    </xf>
    <xf numFmtId="0" fontId="4" fillId="0" borderId="16" xfId="0" applyFont="1" applyFill="1" applyBorder="1" applyAlignment="1" applyProtection="1">
      <alignment horizontal="left" vertical="top"/>
      <protection hidden="1"/>
    </xf>
    <xf numFmtId="0" fontId="4" fillId="0" borderId="8" xfId="0" applyFont="1" applyFill="1" applyBorder="1" applyAlignment="1" applyProtection="1">
      <alignment horizontal="left" vertical="top"/>
      <protection hidden="1"/>
    </xf>
    <xf numFmtId="0" fontId="4" fillId="0" borderId="0" xfId="0" applyFont="1" applyFill="1" applyBorder="1" applyAlignment="1" applyProtection="1">
      <alignment horizontal="left" vertical="top"/>
      <protection hidden="1"/>
    </xf>
    <xf numFmtId="0" fontId="4" fillId="0" borderId="9" xfId="0" applyFont="1" applyFill="1" applyBorder="1" applyAlignment="1" applyProtection="1">
      <alignment horizontal="left" vertical="top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8" fillId="0" borderId="6" xfId="0" applyFont="1" applyBorder="1" applyAlignment="1" applyProtection="1">
      <alignment horizontal="center" vertical="center"/>
      <protection hidden="1"/>
    </xf>
    <xf numFmtId="0" fontId="2" fillId="0" borderId="23" xfId="0" applyFont="1" applyFill="1" applyBorder="1" applyAlignment="1" applyProtection="1">
      <alignment horizontal="left" vertical="center"/>
      <protection locked="0"/>
    </xf>
    <xf numFmtId="0" fontId="0" fillId="0" borderId="23" xfId="0" applyFill="1" applyBorder="1" applyAlignment="1" applyProtection="1">
      <alignment horizontal="left" vertical="center"/>
      <protection locked="0"/>
    </xf>
    <xf numFmtId="0" fontId="2" fillId="0" borderId="17" xfId="0" applyFont="1" applyFill="1" applyBorder="1" applyAlignment="1" applyProtection="1">
      <alignment horizontal="left" vertical="top"/>
      <protection locked="0"/>
    </xf>
    <xf numFmtId="0" fontId="0" fillId="0" borderId="3" xfId="0" applyFill="1" applyBorder="1" applyAlignment="1" applyProtection="1">
      <alignment horizontal="left" vertical="top"/>
      <protection locked="0"/>
    </xf>
    <xf numFmtId="0" fontId="0" fillId="0" borderId="16" xfId="0" applyFill="1" applyBorder="1" applyAlignment="1" applyProtection="1">
      <alignment horizontal="left" vertical="top"/>
      <protection locked="0"/>
    </xf>
    <xf numFmtId="0" fontId="4" fillId="0" borderId="1" xfId="0" applyFont="1" applyFill="1" applyBorder="1" applyAlignment="1" applyProtection="1">
      <alignment horizontal="left" vertical="center"/>
      <protection hidden="1"/>
    </xf>
    <xf numFmtId="0" fontId="4" fillId="0" borderId="2" xfId="0" applyFont="1" applyFill="1" applyBorder="1" applyAlignment="1" applyProtection="1">
      <alignment horizontal="left" vertical="center"/>
      <protection hidden="1"/>
    </xf>
    <xf numFmtId="0" fontId="4" fillId="0" borderId="14" xfId="0" applyFont="1" applyFill="1" applyBorder="1" applyAlignment="1" applyProtection="1">
      <alignment horizontal="left" vertical="center"/>
      <protection hidden="1"/>
    </xf>
    <xf numFmtId="0" fontId="2" fillId="0" borderId="29" xfId="0" applyFont="1" applyFill="1" applyBorder="1" applyAlignment="1" applyProtection="1">
      <alignment horizontal="left" vertical="center" wrapText="1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0" fontId="0" fillId="0" borderId="4" xfId="0" applyFill="1" applyBorder="1" applyAlignment="1" applyProtection="1">
      <alignment horizontal="left" vertical="center"/>
      <protection hidden="1"/>
    </xf>
    <xf numFmtId="0" fontId="4" fillId="0" borderId="17" xfId="0" applyFont="1" applyFill="1" applyBorder="1" applyAlignment="1" applyProtection="1">
      <alignment horizontal="left" vertical="center"/>
      <protection hidden="1"/>
    </xf>
    <xf numFmtId="0" fontId="4" fillId="0" borderId="16" xfId="0" applyFont="1" applyFill="1" applyBorder="1" applyAlignment="1" applyProtection="1">
      <alignment horizontal="left" vertical="center"/>
      <protection hidden="1"/>
    </xf>
    <xf numFmtId="0" fontId="4" fillId="0" borderId="18" xfId="0" applyFont="1" applyFill="1" applyBorder="1" applyAlignment="1" applyProtection="1">
      <alignment horizontal="left" vertical="center"/>
      <protection hidden="1"/>
    </xf>
    <xf numFmtId="0" fontId="4" fillId="0" borderId="6" xfId="0" applyFont="1" applyFill="1" applyBorder="1" applyAlignment="1" applyProtection="1">
      <alignment horizontal="left" vertical="center"/>
      <protection hidden="1"/>
    </xf>
    <xf numFmtId="0" fontId="4" fillId="0" borderId="7" xfId="0" applyFont="1" applyFill="1" applyBorder="1" applyAlignment="1" applyProtection="1">
      <alignment horizontal="left" vertical="center"/>
      <protection hidden="1"/>
    </xf>
    <xf numFmtId="0" fontId="7" fillId="0" borderId="17" xfId="0" applyFont="1" applyFill="1" applyBorder="1" applyAlignment="1" applyProtection="1">
      <alignment horizontal="center" vertical="top"/>
      <protection hidden="1"/>
    </xf>
    <xf numFmtId="0" fontId="7" fillId="0" borderId="3" xfId="0" applyFont="1" applyFill="1" applyBorder="1" applyAlignment="1" applyProtection="1">
      <alignment horizontal="center" vertical="top"/>
      <protection hidden="1"/>
    </xf>
    <xf numFmtId="0" fontId="7" fillId="0" borderId="16" xfId="0" applyFont="1" applyFill="1" applyBorder="1" applyAlignment="1" applyProtection="1">
      <alignment horizontal="center" vertical="top"/>
      <protection hidden="1"/>
    </xf>
    <xf numFmtId="0" fontId="0" fillId="0" borderId="0" xfId="0" applyFill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left" indent="1"/>
      <protection hidden="1"/>
    </xf>
    <xf numFmtId="0" fontId="0" fillId="0" borderId="0" xfId="0" applyFill="1" applyAlignment="1" applyProtection="1">
      <alignment horizontal="left" indent="1"/>
      <protection hidden="1"/>
    </xf>
    <xf numFmtId="0" fontId="2" fillId="0" borderId="17" xfId="0" applyFont="1" applyFill="1" applyBorder="1" applyAlignment="1" applyProtection="1">
      <alignment vertical="center"/>
      <protection hidden="1"/>
    </xf>
    <xf numFmtId="0" fontId="2" fillId="0" borderId="34" xfId="0" applyFont="1" applyFill="1" applyBorder="1" applyAlignment="1" applyProtection="1">
      <alignment horizontal="left" vertical="center"/>
      <protection locked="0"/>
    </xf>
    <xf numFmtId="0" fontId="0" fillId="0" borderId="34" xfId="0" applyFill="1" applyBorder="1" applyAlignment="1" applyProtection="1">
      <alignment horizontal="left" vertical="center"/>
      <protection locked="0"/>
    </xf>
    <xf numFmtId="0" fontId="2" fillId="0" borderId="35" xfId="0" applyFont="1" applyFill="1" applyBorder="1" applyAlignment="1" applyProtection="1">
      <alignment horizontal="left" vertical="center"/>
      <protection hidden="1"/>
    </xf>
    <xf numFmtId="0" fontId="2" fillId="0" borderId="11" xfId="0" applyFont="1" applyFill="1" applyBorder="1" applyAlignment="1" applyProtection="1">
      <alignment horizontal="left" vertical="center"/>
      <protection hidden="1"/>
    </xf>
    <xf numFmtId="0" fontId="2" fillId="0" borderId="25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1" xfId="0" applyNumberFormat="1" applyFill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2" fillId="0" borderId="37" xfId="0" applyFont="1" applyFill="1" applyBorder="1" applyAlignment="1" applyProtection="1">
      <alignment horizontal="left" vertical="center"/>
      <protection hidden="1"/>
    </xf>
    <xf numFmtId="0" fontId="2" fillId="0" borderId="38" xfId="0" applyFont="1" applyFill="1" applyBorder="1" applyAlignment="1" applyProtection="1">
      <alignment horizontal="left" vertical="center"/>
      <protection hidden="1"/>
    </xf>
    <xf numFmtId="0" fontId="7" fillId="0" borderId="3" xfId="0" applyFont="1" applyFill="1" applyBorder="1" applyAlignment="1" applyProtection="1">
      <alignment horizontal="left" vertical="center" indent="1"/>
      <protection hidden="1"/>
    </xf>
    <xf numFmtId="0" fontId="4" fillId="0" borderId="3" xfId="0" applyFont="1" applyFill="1" applyBorder="1" applyAlignment="1" applyProtection="1">
      <alignment horizontal="left" vertical="center" indent="1"/>
      <protection hidden="1"/>
    </xf>
    <xf numFmtId="0" fontId="4" fillId="0" borderId="16" xfId="0" applyFont="1" applyFill="1" applyBorder="1" applyAlignment="1" applyProtection="1">
      <alignment horizontal="left" vertical="center" indent="1"/>
      <protection hidden="1"/>
    </xf>
    <xf numFmtId="0" fontId="26" fillId="0" borderId="0" xfId="1" applyFont="1" applyFill="1" applyBorder="1" applyAlignment="1" applyProtection="1">
      <alignment horizontal="center" vertical="center"/>
      <protection hidden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0" borderId="9" xfId="0" applyFont="1" applyFill="1" applyBorder="1" applyAlignment="1" applyProtection="1">
      <alignment horizontal="center" vertical="center"/>
      <protection hidden="1"/>
    </xf>
    <xf numFmtId="0" fontId="8" fillId="0" borderId="18" xfId="0" applyFont="1" applyFill="1" applyBorder="1" applyAlignment="1" applyProtection="1">
      <alignment horizontal="center" vertical="center"/>
      <protection hidden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 vertical="center"/>
      <protection hidden="1"/>
    </xf>
    <xf numFmtId="0" fontId="2" fillId="0" borderId="25" xfId="0" applyFont="1" applyFill="1" applyBorder="1" applyAlignment="1" applyProtection="1">
      <alignment horizontal="left" vertical="center"/>
      <protection locked="0"/>
    </xf>
    <xf numFmtId="0" fontId="2" fillId="0" borderId="26" xfId="0" applyFont="1" applyFill="1" applyBorder="1" applyAlignment="1" applyProtection="1">
      <alignment horizontal="left" vertical="center"/>
      <protection locked="0"/>
    </xf>
    <xf numFmtId="4" fontId="0" fillId="0" borderId="32" xfId="0" applyNumberFormat="1" applyFill="1" applyBorder="1" applyAlignment="1" applyProtection="1">
      <alignment horizontal="right" vertical="center"/>
      <protection locked="0"/>
    </xf>
    <xf numFmtId="4" fontId="2" fillId="0" borderId="8" xfId="0" applyNumberFormat="1" applyFont="1" applyFill="1" applyBorder="1" applyAlignment="1" applyProtection="1">
      <alignment horizontal="right" vertical="center"/>
      <protection locked="0"/>
    </xf>
    <xf numFmtId="4" fontId="0" fillId="0" borderId="10" xfId="0" applyNumberFormat="1" applyFill="1" applyBorder="1" applyAlignment="1" applyProtection="1">
      <alignment horizontal="right" vertical="center"/>
      <protection locked="0"/>
    </xf>
    <xf numFmtId="4" fontId="0" fillId="0" borderId="5" xfId="0" applyNumberFormat="1" applyFill="1" applyBorder="1" applyAlignment="1" applyProtection="1">
      <alignment horizontal="right" vertical="center"/>
      <protection locked="0"/>
    </xf>
    <xf numFmtId="0" fontId="2" fillId="0" borderId="29" xfId="0" applyFont="1" applyFill="1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2" fillId="0" borderId="1" xfId="0" applyFont="1" applyFill="1" applyBorder="1" applyAlignment="1" applyProtection="1">
      <alignment horizontal="left" vertical="top" wrapText="1"/>
      <protection locked="0" hidden="1"/>
    </xf>
    <xf numFmtId="0" fontId="2" fillId="0" borderId="2" xfId="0" applyFont="1" applyFill="1" applyBorder="1" applyAlignment="1" applyProtection="1">
      <alignment horizontal="left" vertical="top" wrapText="1"/>
      <protection locked="0" hidden="1"/>
    </xf>
    <xf numFmtId="0" fontId="2" fillId="0" borderId="14" xfId="0" applyFont="1" applyFill="1" applyBorder="1" applyAlignment="1" applyProtection="1">
      <alignment horizontal="left" vertical="top" wrapText="1"/>
      <protection locked="0" hidden="1"/>
    </xf>
    <xf numFmtId="169" fontId="2" fillId="0" borderId="1" xfId="0" applyNumberFormat="1" applyFont="1" applyFill="1" applyBorder="1" applyAlignment="1" applyProtection="1">
      <alignment horizontal="center" vertical="center"/>
      <protection locked="0"/>
    </xf>
    <xf numFmtId="169" fontId="2" fillId="0" borderId="2" xfId="0" applyNumberFormat="1" applyFont="1" applyFill="1" applyBorder="1" applyAlignment="1" applyProtection="1">
      <alignment horizontal="center" vertical="center"/>
      <protection locked="0"/>
    </xf>
    <xf numFmtId="169" fontId="0" fillId="0" borderId="2" xfId="0" applyNumberFormat="1" applyFill="1" applyBorder="1" applyAlignment="1" applyProtection="1">
      <alignment horizontal="center" vertical="center"/>
      <protection locked="0"/>
    </xf>
    <xf numFmtId="169" fontId="0" fillId="0" borderId="14" xfId="0" applyNumberForma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 hidden="1"/>
    </xf>
    <xf numFmtId="0" fontId="2" fillId="0" borderId="2" xfId="0" applyFont="1" applyFill="1" applyBorder="1" applyAlignment="1" applyProtection="1">
      <alignment horizontal="left" vertical="center"/>
      <protection locked="0" hidden="1"/>
    </xf>
    <xf numFmtId="0" fontId="2" fillId="0" borderId="14" xfId="0" applyFont="1" applyFill="1" applyBorder="1" applyAlignment="1" applyProtection="1">
      <alignment horizontal="left" vertical="center"/>
      <protection locked="0" hidden="1"/>
    </xf>
    <xf numFmtId="0" fontId="0" fillId="0" borderId="0" xfId="0" applyBorder="1" applyAlignment="1">
      <alignment vertical="center"/>
    </xf>
    <xf numFmtId="0" fontId="2" fillId="0" borderId="17" xfId="0" applyFont="1" applyFill="1" applyBorder="1" applyAlignment="1" applyProtection="1">
      <alignment horizontal="center" vertical="center"/>
      <protection hidden="1"/>
    </xf>
    <xf numFmtId="0" fontId="2" fillId="0" borderId="16" xfId="0" applyFont="1" applyFill="1" applyBorder="1" applyAlignment="1" applyProtection="1">
      <alignment horizontal="center" vertical="center"/>
      <protection hidden="1"/>
    </xf>
    <xf numFmtId="166" fontId="2" fillId="0" borderId="18" xfId="0" applyNumberFormat="1" applyFont="1" applyFill="1" applyBorder="1" applyAlignment="1" applyProtection="1">
      <alignment horizontal="right" vertical="center"/>
      <protection locked="0" hidden="1"/>
    </xf>
    <xf numFmtId="166" fontId="2" fillId="0" borderId="6" xfId="0" applyNumberFormat="1" applyFont="1" applyFill="1" applyBorder="1" applyAlignment="1" applyProtection="1">
      <alignment horizontal="right" vertical="center"/>
      <protection locked="0" hidden="1"/>
    </xf>
    <xf numFmtId="0" fontId="0" fillId="0" borderId="8" xfId="0" applyFill="1" applyBorder="1" applyAlignment="1" applyProtection="1">
      <alignment horizontal="center" vertical="top"/>
      <protection hidden="1"/>
    </xf>
    <xf numFmtId="0" fontId="0" fillId="0" borderId="0" xfId="0" applyFill="1" applyBorder="1" applyAlignment="1" applyProtection="1">
      <alignment horizontal="center" vertical="top"/>
      <protection hidden="1"/>
    </xf>
    <xf numFmtId="0" fontId="0" fillId="0" borderId="9" xfId="0" applyFill="1" applyBorder="1" applyAlignment="1" applyProtection="1">
      <alignment horizontal="center" vertical="top"/>
      <protection hidden="1"/>
    </xf>
    <xf numFmtId="0" fontId="0" fillId="0" borderId="2" xfId="0" applyBorder="1" applyAlignment="1" applyProtection="1">
      <alignment horizontal="left" vertical="center"/>
      <protection locked="0" hidden="1"/>
    </xf>
    <xf numFmtId="0" fontId="25" fillId="4" borderId="2" xfId="0" applyFont="1" applyFill="1" applyBorder="1" applyAlignment="1" applyProtection="1">
      <alignment horizontal="left" vertical="center"/>
      <protection locked="0" hidden="1"/>
    </xf>
    <xf numFmtId="0" fontId="25" fillId="0" borderId="2" xfId="0" applyFont="1" applyBorder="1" applyAlignment="1" applyProtection="1">
      <alignment horizontal="left" vertical="center"/>
      <protection locked="0" hidden="1"/>
    </xf>
    <xf numFmtId="0" fontId="25" fillId="0" borderId="14" xfId="0" applyFont="1" applyBorder="1" applyAlignment="1" applyProtection="1">
      <alignment horizontal="left" vertical="center"/>
      <protection locked="0" hidden="1"/>
    </xf>
    <xf numFmtId="0" fontId="0" fillId="0" borderId="8" xfId="0" applyBorder="1" applyAlignment="1">
      <alignment horizontal="center" vertical="center"/>
    </xf>
    <xf numFmtId="0" fontId="0" fillId="0" borderId="2" xfId="0" applyFill="1" applyBorder="1" applyAlignment="1" applyProtection="1">
      <alignment horizontal="left" vertical="center"/>
      <protection hidden="1"/>
    </xf>
    <xf numFmtId="0" fontId="0" fillId="0" borderId="14" xfId="0" applyFill="1" applyBorder="1" applyAlignment="1" applyProtection="1">
      <alignment horizontal="left" vertical="center"/>
      <protection hidden="1"/>
    </xf>
    <xf numFmtId="0" fontId="2" fillId="0" borderId="9" xfId="0" applyFont="1" applyFill="1" applyBorder="1" applyAlignment="1" applyProtection="1">
      <alignment horizontal="left" vertical="center"/>
      <protection hidden="1"/>
    </xf>
    <xf numFmtId="0" fontId="2" fillId="0" borderId="33" xfId="0" applyFont="1" applyFill="1" applyBorder="1" applyAlignment="1" applyProtection="1">
      <alignment horizontal="left" vertical="center" wrapText="1"/>
      <protection hidden="1"/>
    </xf>
    <xf numFmtId="0" fontId="2" fillId="0" borderId="25" xfId="0" applyFont="1" applyFill="1" applyBorder="1" applyAlignment="1" applyProtection="1">
      <alignment horizontal="left" vertical="center" wrapText="1"/>
      <protection hidden="1"/>
    </xf>
    <xf numFmtId="0" fontId="2" fillId="0" borderId="8" xfId="0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horizontal="left" vertical="top"/>
      <protection locked="0"/>
    </xf>
    <xf numFmtId="0" fontId="2" fillId="0" borderId="9" xfId="0" applyFont="1" applyFill="1" applyBorder="1" applyAlignment="1" applyProtection="1">
      <alignment horizontal="left" vertical="top"/>
      <protection locked="0"/>
    </xf>
    <xf numFmtId="0" fontId="2" fillId="0" borderId="14" xfId="0" applyFont="1" applyFill="1" applyBorder="1" applyAlignment="1" applyProtection="1">
      <alignment horizontal="left" vertical="center"/>
      <protection hidden="1"/>
    </xf>
    <xf numFmtId="0" fontId="2" fillId="0" borderId="45" xfId="0" applyFont="1" applyFill="1" applyBorder="1" applyAlignment="1" applyProtection="1">
      <alignment horizontal="left" vertical="center"/>
      <protection locked="0"/>
    </xf>
    <xf numFmtId="0" fontId="0" fillId="0" borderId="46" xfId="0" applyFill="1" applyBorder="1" applyAlignment="1" applyProtection="1">
      <alignment horizontal="left" vertical="center"/>
      <protection locked="0"/>
    </xf>
    <xf numFmtId="0" fontId="0" fillId="0" borderId="47" xfId="0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Protection="1">
      <protection hidden="1"/>
    </xf>
    <xf numFmtId="0" fontId="7" fillId="0" borderId="27" xfId="0" applyFont="1" applyFill="1" applyBorder="1" applyAlignment="1" applyProtection="1">
      <alignment horizontal="left" vertical="top" indent="1"/>
      <protection hidden="1"/>
    </xf>
    <xf numFmtId="0" fontId="0" fillId="0" borderId="3" xfId="0" applyBorder="1" applyAlignment="1">
      <alignment horizontal="left" vertical="top" indent="1"/>
    </xf>
    <xf numFmtId="4" fontId="2" fillId="0" borderId="8" xfId="0" applyNumberFormat="1" applyFont="1" applyFill="1" applyBorder="1" applyAlignment="1" applyProtection="1">
      <alignment horizontal="right" vertical="center"/>
      <protection hidden="1"/>
    </xf>
    <xf numFmtId="4" fontId="2" fillId="0" borderId="0" xfId="0" applyNumberFormat="1" applyFont="1" applyFill="1" applyBorder="1" applyAlignment="1" applyProtection="1">
      <alignment horizontal="right" vertical="center"/>
      <protection hidden="1"/>
    </xf>
    <xf numFmtId="4" fontId="2" fillId="0" borderId="9" xfId="0" applyNumberFormat="1" applyFont="1" applyFill="1" applyBorder="1" applyAlignment="1" applyProtection="1">
      <alignment horizontal="right" vertical="center"/>
      <protection hidden="1"/>
    </xf>
    <xf numFmtId="4" fontId="2" fillId="0" borderId="13" xfId="0" applyNumberFormat="1" applyFont="1" applyFill="1" applyBorder="1" applyAlignment="1" applyProtection="1">
      <alignment horizontal="right" vertical="center"/>
      <protection hidden="1"/>
    </xf>
    <xf numFmtId="4" fontId="2" fillId="0" borderId="12" xfId="0" applyNumberFormat="1" applyFont="1" applyFill="1" applyBorder="1" applyAlignment="1" applyProtection="1">
      <alignment horizontal="right" vertical="center"/>
      <protection hidden="1"/>
    </xf>
    <xf numFmtId="4" fontId="2" fillId="0" borderId="28" xfId="0" applyNumberFormat="1" applyFont="1" applyFill="1" applyBorder="1" applyAlignment="1" applyProtection="1">
      <alignment horizontal="right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9" xfId="0" applyFont="1" applyFill="1" applyBorder="1" applyAlignment="1" applyProtection="1">
      <alignment horizontal="center" vertical="center"/>
      <protection hidden="1"/>
    </xf>
    <xf numFmtId="0" fontId="7" fillId="0" borderId="1" xfId="0" applyFont="1" applyFill="1" applyBorder="1" applyAlignment="1" applyProtection="1">
      <alignment horizontal="left" vertical="top" indent="1"/>
      <protection hidden="1"/>
    </xf>
    <xf numFmtId="0" fontId="0" fillId="0" borderId="2" xfId="0" applyBorder="1" applyAlignment="1">
      <alignment horizontal="left" vertical="top" indent="1"/>
    </xf>
    <xf numFmtId="0" fontId="2" fillId="0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166" fontId="0" fillId="0" borderId="18" xfId="0" applyNumberFormat="1" applyFill="1" applyBorder="1" applyAlignment="1" applyProtection="1">
      <alignment horizontal="right" vertical="center"/>
      <protection locked="0" hidden="1"/>
    </xf>
    <xf numFmtId="166" fontId="0" fillId="0" borderId="6" xfId="0" applyNumberFormat="1" applyFill="1" applyBorder="1" applyAlignment="1" applyProtection="1">
      <alignment horizontal="right" vertical="center"/>
      <protection locked="0" hidden="1"/>
    </xf>
    <xf numFmtId="0" fontId="4" fillId="0" borderId="0" xfId="0" applyFont="1" applyFill="1" applyBorder="1" applyAlignment="1" applyProtection="1">
      <alignment horizontal="left" vertical="center"/>
      <protection hidden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3" xfId="0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left" vertical="center"/>
      <protection hidden="1"/>
    </xf>
    <xf numFmtId="0" fontId="6" fillId="0" borderId="0" xfId="0" applyFont="1" applyFill="1" applyAlignment="1" applyProtection="1">
      <alignment horizontal="left" vertical="center"/>
      <protection locked="0" hidden="1"/>
    </xf>
    <xf numFmtId="0" fontId="4" fillId="0" borderId="1" xfId="0" applyFont="1" applyFill="1" applyBorder="1" applyAlignment="1" applyProtection="1">
      <alignment horizontal="right" vertical="center" indent="1"/>
      <protection hidden="1"/>
    </xf>
    <xf numFmtId="0" fontId="4" fillId="0" borderId="2" xfId="0" applyFont="1" applyFill="1" applyBorder="1" applyAlignment="1" applyProtection="1">
      <alignment horizontal="right" vertical="center" indent="1"/>
      <protection hidden="1"/>
    </xf>
    <xf numFmtId="0" fontId="2" fillId="0" borderId="17" xfId="0" applyFont="1" applyFill="1" applyBorder="1" applyAlignment="1" applyProtection="1">
      <alignment horizontal="left" vertical="top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16" xfId="0" applyFont="1" applyFill="1" applyBorder="1" applyAlignment="1" applyProtection="1">
      <alignment horizontal="left" vertical="top" wrapText="1"/>
      <protection locked="0"/>
    </xf>
    <xf numFmtId="0" fontId="2" fillId="0" borderId="8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2" fillId="0" borderId="9" xfId="0" applyFont="1" applyFill="1" applyBorder="1" applyAlignment="1" applyProtection="1">
      <alignment horizontal="left" vertical="top" wrapText="1"/>
      <protection locked="0"/>
    </xf>
    <xf numFmtId="0" fontId="2" fillId="0" borderId="18" xfId="0" applyFont="1" applyFill="1" applyBorder="1" applyAlignment="1" applyProtection="1">
      <alignment horizontal="left" vertical="top" wrapText="1"/>
      <protection locked="0"/>
    </xf>
    <xf numFmtId="0" fontId="2" fillId="0" borderId="6" xfId="0" applyFont="1" applyFill="1" applyBorder="1" applyAlignment="1" applyProtection="1">
      <alignment horizontal="left" vertical="top" wrapText="1"/>
      <protection locked="0"/>
    </xf>
    <xf numFmtId="0" fontId="2" fillId="0" borderId="7" xfId="0" applyFont="1" applyFill="1" applyBorder="1" applyAlignment="1" applyProtection="1">
      <alignment horizontal="left" vertical="top" wrapText="1"/>
      <protection locked="0"/>
    </xf>
    <xf numFmtId="0" fontId="0" fillId="0" borderId="2" xfId="0" applyNumberFormat="1" applyFill="1" applyBorder="1" applyAlignment="1" applyProtection="1">
      <alignment horizontal="center" vertical="center"/>
      <protection locked="0" hidden="1"/>
    </xf>
    <xf numFmtId="0" fontId="0" fillId="0" borderId="14" xfId="0" applyNumberFormat="1" applyFill="1" applyBorder="1" applyAlignment="1" applyProtection="1">
      <alignment horizontal="center" vertical="center"/>
      <protection locked="0" hidden="1"/>
    </xf>
    <xf numFmtId="4" fontId="0" fillId="0" borderId="2" xfId="0" applyNumberFormat="1" applyFill="1" applyBorder="1" applyAlignment="1" applyProtection="1">
      <alignment horizontal="center" vertical="center"/>
      <protection locked="0" hidden="1"/>
    </xf>
    <xf numFmtId="0" fontId="23" fillId="0" borderId="2" xfId="0" applyFont="1" applyFill="1" applyBorder="1" applyAlignment="1" applyProtection="1">
      <alignment horizontal="center" vertical="center"/>
      <protection locked="0" hidden="1"/>
    </xf>
    <xf numFmtId="0" fontId="24" fillId="0" borderId="2" xfId="0" applyFont="1" applyFill="1" applyBorder="1" applyAlignment="1" applyProtection="1">
      <alignment horizontal="center" vertical="center"/>
      <protection locked="0" hidden="1"/>
    </xf>
    <xf numFmtId="4" fontId="0" fillId="0" borderId="1" xfId="0" applyNumberFormat="1" applyFill="1" applyBorder="1" applyAlignment="1" applyProtection="1">
      <alignment horizontal="right" vertical="center"/>
      <protection locked="0" hidden="1"/>
    </xf>
    <xf numFmtId="0" fontId="7" fillId="0" borderId="12" xfId="0" applyFont="1" applyFill="1" applyBorder="1" applyAlignment="1" applyProtection="1">
      <alignment horizontal="center" vertical="center"/>
      <protection hidden="1"/>
    </xf>
    <xf numFmtId="0" fontId="2" fillId="0" borderId="12" xfId="0" applyFont="1" applyFill="1" applyBorder="1" applyAlignment="1" applyProtection="1">
      <alignment horizontal="center" vertical="center"/>
      <protection hidden="1"/>
    </xf>
    <xf numFmtId="0" fontId="2" fillId="0" borderId="28" xfId="0" applyFont="1" applyFill="1" applyBorder="1" applyAlignment="1" applyProtection="1">
      <alignment horizontal="center" vertical="center"/>
      <protection hidden="1"/>
    </xf>
    <xf numFmtId="0" fontId="2" fillId="0" borderId="13" xfId="0" applyFont="1" applyFill="1" applyBorder="1" applyAlignment="1" applyProtection="1">
      <alignment horizontal="left" vertical="center"/>
      <protection hidden="1"/>
    </xf>
    <xf numFmtId="0" fontId="2" fillId="0" borderId="12" xfId="0" applyFont="1" applyFill="1" applyBorder="1" applyAlignment="1" applyProtection="1">
      <alignment horizontal="left" vertical="center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11" fillId="3" borderId="0" xfId="0" applyFon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0" fontId="0" fillId="0" borderId="1" xfId="0" applyFill="1" applyBorder="1" applyAlignment="1" applyProtection="1">
      <alignment horizontal="center" vertical="center"/>
      <protection locked="0" hidden="1"/>
    </xf>
    <xf numFmtId="0" fontId="0" fillId="0" borderId="2" xfId="0" applyFill="1" applyBorder="1" applyAlignment="1" applyProtection="1">
      <alignment horizontal="center" vertical="center"/>
      <protection locked="0" hidden="1"/>
    </xf>
    <xf numFmtId="0" fontId="0" fillId="0" borderId="14" xfId="0" applyFill="1" applyBorder="1" applyAlignment="1" applyProtection="1">
      <alignment horizontal="center" vertical="center"/>
      <protection locked="0"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3" fillId="0" borderId="12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4" fontId="4" fillId="0" borderId="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4" fillId="0" borderId="14" xfId="0" applyFont="1" applyFill="1" applyBorder="1" applyAlignment="1" applyProtection="1">
      <alignment horizontal="right" vertical="center" indent="1"/>
      <protection hidden="1"/>
    </xf>
    <xf numFmtId="0" fontId="2" fillId="0" borderId="1" xfId="0" applyFont="1" applyFill="1" applyBorder="1" applyAlignment="1" applyProtection="1">
      <alignment horizontal="right" vertical="center" indent="1"/>
      <protection hidden="1"/>
    </xf>
    <xf numFmtId="0" fontId="0" fillId="0" borderId="2" xfId="0" applyFill="1" applyBorder="1" applyAlignment="1" applyProtection="1">
      <alignment horizontal="right" vertical="center" indent="1"/>
      <protection hidden="1"/>
    </xf>
    <xf numFmtId="0" fontId="0" fillId="0" borderId="14" xfId="0" applyFill="1" applyBorder="1" applyAlignment="1" applyProtection="1">
      <alignment horizontal="right" vertical="center" indent="1"/>
      <protection hidden="1"/>
    </xf>
    <xf numFmtId="0" fontId="4" fillId="0" borderId="18" xfId="0" applyFont="1" applyFill="1" applyBorder="1" applyAlignment="1" applyProtection="1">
      <alignment horizontal="right" vertical="center" indent="1"/>
      <protection hidden="1"/>
    </xf>
    <xf numFmtId="0" fontId="4" fillId="0" borderId="6" xfId="0" applyFont="1" applyFill="1" applyBorder="1" applyAlignment="1" applyProtection="1">
      <alignment horizontal="right" vertical="center" indent="1"/>
      <protection hidden="1"/>
    </xf>
    <xf numFmtId="0" fontId="4" fillId="0" borderId="7" xfId="0" applyFont="1" applyFill="1" applyBorder="1" applyAlignment="1" applyProtection="1">
      <alignment horizontal="right" vertical="center" indent="1"/>
      <protection hidden="1"/>
    </xf>
    <xf numFmtId="0" fontId="0" fillId="0" borderId="24" xfId="0" applyFill="1" applyBorder="1" applyAlignment="1" applyProtection="1">
      <alignment horizontal="right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left" vertical="center" indent="2"/>
      <protection hidden="1"/>
    </xf>
    <xf numFmtId="0" fontId="2" fillId="0" borderId="4" xfId="0" applyFont="1" applyFill="1" applyBorder="1" applyAlignment="1" applyProtection="1">
      <alignment horizontal="left" vertical="center"/>
      <protection locked="0" hidden="1"/>
    </xf>
    <xf numFmtId="0" fontId="0" fillId="0" borderId="4" xfId="0" applyFill="1" applyBorder="1" applyAlignment="1" applyProtection="1">
      <alignment horizontal="left" vertical="center"/>
      <protection locked="0" hidden="1"/>
    </xf>
    <xf numFmtId="0" fontId="2" fillId="0" borderId="0" xfId="0" applyFont="1" applyBorder="1" applyAlignment="1" applyProtection="1">
      <alignment vertical="center"/>
    </xf>
    <xf numFmtId="0" fontId="0" fillId="0" borderId="0" xfId="0" applyBorder="1" applyProtection="1"/>
    <xf numFmtId="4" fontId="0" fillId="0" borderId="12" xfId="0" applyNumberFormat="1" applyFill="1" applyBorder="1" applyAlignment="1" applyProtection="1">
      <alignment horizontal="right" vertical="center"/>
      <protection hidden="1"/>
    </xf>
    <xf numFmtId="4" fontId="0" fillId="0" borderId="28" xfId="0" applyNumberFormat="1" applyFill="1" applyBorder="1" applyAlignment="1" applyProtection="1">
      <alignment horizontal="right" vertical="center"/>
      <protection hidden="1"/>
    </xf>
    <xf numFmtId="0" fontId="7" fillId="0" borderId="1" xfId="0" applyFont="1" applyFill="1" applyBorder="1" applyAlignment="1" applyProtection="1">
      <alignment horizontal="right"/>
      <protection hidden="1"/>
    </xf>
    <xf numFmtId="0" fontId="7" fillId="0" borderId="2" xfId="0" applyFont="1" applyFill="1" applyBorder="1" applyAlignment="1" applyProtection="1">
      <alignment horizontal="right"/>
      <protection hidden="1"/>
    </xf>
    <xf numFmtId="0" fontId="2" fillId="0" borderId="4" xfId="0" applyFont="1" applyFill="1" applyBorder="1" applyAlignment="1" applyProtection="1">
      <alignment horizontal="center" vertical="center"/>
      <protection hidden="1"/>
    </xf>
    <xf numFmtId="170" fontId="2" fillId="0" borderId="6" xfId="0" applyNumberFormat="1" applyFont="1" applyFill="1" applyBorder="1" applyAlignment="1" applyProtection="1">
      <alignment vertical="center"/>
      <protection locked="0" hidden="1"/>
    </xf>
    <xf numFmtId="170" fontId="0" fillId="0" borderId="6" xfId="0" applyNumberFormat="1" applyFill="1" applyBorder="1" applyAlignment="1" applyProtection="1">
      <alignment vertical="center"/>
      <protection locked="0" hidden="1"/>
    </xf>
    <xf numFmtId="0" fontId="2" fillId="0" borderId="8" xfId="0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Border="1" applyAlignment="1" applyProtection="1">
      <alignment horizontal="right" vertical="center"/>
      <protection hidden="1"/>
    </xf>
    <xf numFmtId="0" fontId="2" fillId="0" borderId="9" xfId="0" applyFont="1" applyFill="1" applyBorder="1" applyAlignment="1" applyProtection="1">
      <alignment horizontal="right" vertical="center"/>
      <protection hidden="1"/>
    </xf>
    <xf numFmtId="4" fontId="2" fillId="0" borderId="18" xfId="0" applyNumberFormat="1" applyFont="1" applyFill="1" applyBorder="1" applyAlignment="1" applyProtection="1">
      <alignment horizontal="right" vertical="center"/>
      <protection hidden="1"/>
    </xf>
    <xf numFmtId="4" fontId="2" fillId="0" borderId="6" xfId="0" applyNumberFormat="1" applyFont="1" applyFill="1" applyBorder="1" applyAlignment="1" applyProtection="1">
      <alignment horizontal="right" vertical="center"/>
      <protection hidden="1"/>
    </xf>
    <xf numFmtId="4" fontId="2" fillId="0" borderId="7" xfId="0" applyNumberFormat="1" applyFont="1" applyFill="1" applyBorder="1" applyAlignment="1" applyProtection="1">
      <alignment horizontal="right"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2" xfId="0" applyFont="1" applyFill="1" applyBorder="1" applyAlignment="1" applyProtection="1">
      <alignment horizontal="center"/>
      <protection hidden="1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0" borderId="0" xfId="0" applyFont="1" applyFill="1" applyBorder="1" applyAlignment="1" applyProtection="1">
      <alignment horizontal="center"/>
      <protection hidden="1"/>
    </xf>
    <xf numFmtId="0" fontId="6" fillId="0" borderId="0" xfId="0" applyNumberFormat="1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left"/>
      <protection hidden="1"/>
    </xf>
  </cellXfs>
  <cellStyles count="3">
    <cellStyle name="Hyperlink" xfId="1" builtinId="8"/>
    <cellStyle name="Normal" xfId="0" builtinId="0"/>
    <cellStyle name="Percent" xfId="2" builtinId="5"/>
  </cellStyles>
  <dxfs count="2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auto="1"/>
      </font>
      <fill>
        <patternFill patternType="solid"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strike val="0"/>
        <color auto="1"/>
        <name val="Cambria"/>
        <scheme val="none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fmlaLink="G30" lockText="1" noThreeD="1"/>
</file>

<file path=xl/ctrlProps/ctrlProp2.xml><?xml version="1.0" encoding="utf-8"?>
<formControlPr xmlns="http://schemas.microsoft.com/office/spreadsheetml/2009/9/main" objectType="CheckBox" fmlaLink="J30" lockText="1" noThreeD="1"/>
</file>

<file path=xl/ctrlProps/ctrlProp3.xml><?xml version="1.0" encoding="utf-8"?>
<formControlPr xmlns="http://schemas.microsoft.com/office/spreadsheetml/2009/9/main" objectType="CheckBox" fmlaLink="G31" lockText="1" noThreeD="1"/>
</file>

<file path=xl/ctrlProps/ctrlProp4.xml><?xml version="1.0" encoding="utf-8"?>
<formControlPr xmlns="http://schemas.microsoft.com/office/spreadsheetml/2009/9/main" objectType="CheckBox" fmlaLink="J31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73</xdr:row>
      <xdr:rowOff>0</xdr:rowOff>
    </xdr:from>
    <xdr:to>
      <xdr:col>4</xdr:col>
      <xdr:colOff>47625</xdr:colOff>
      <xdr:row>73</xdr:row>
      <xdr:rowOff>0</xdr:rowOff>
    </xdr:to>
    <xdr:sp macro="" textlink="">
      <xdr:nvSpPr>
        <xdr:cNvPr id="31701" name="Line 12"/>
        <xdr:cNvSpPr>
          <a:spLocks noChangeShapeType="1"/>
        </xdr:cNvSpPr>
      </xdr:nvSpPr>
      <xdr:spPr bwMode="auto">
        <a:xfrm>
          <a:off x="11049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73</xdr:row>
      <xdr:rowOff>0</xdr:rowOff>
    </xdr:from>
    <xdr:to>
      <xdr:col>3</xdr:col>
      <xdr:colOff>47625</xdr:colOff>
      <xdr:row>73</xdr:row>
      <xdr:rowOff>0</xdr:rowOff>
    </xdr:to>
    <xdr:sp macro="" textlink="">
      <xdr:nvSpPr>
        <xdr:cNvPr id="31702" name="Line 13"/>
        <xdr:cNvSpPr>
          <a:spLocks noChangeShapeType="1"/>
        </xdr:cNvSpPr>
      </xdr:nvSpPr>
      <xdr:spPr bwMode="auto">
        <a:xfrm>
          <a:off x="10572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73</xdr:row>
      <xdr:rowOff>0</xdr:rowOff>
    </xdr:from>
    <xdr:to>
      <xdr:col>4</xdr:col>
      <xdr:colOff>247650</xdr:colOff>
      <xdr:row>73</xdr:row>
      <xdr:rowOff>0</xdr:rowOff>
    </xdr:to>
    <xdr:sp macro="" textlink="">
      <xdr:nvSpPr>
        <xdr:cNvPr id="31703" name="Line 14"/>
        <xdr:cNvSpPr>
          <a:spLocks noChangeShapeType="1"/>
        </xdr:cNvSpPr>
      </xdr:nvSpPr>
      <xdr:spPr bwMode="auto">
        <a:xfrm>
          <a:off x="13049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73</xdr:row>
      <xdr:rowOff>0</xdr:rowOff>
    </xdr:from>
    <xdr:to>
      <xdr:col>4</xdr:col>
      <xdr:colOff>152400</xdr:colOff>
      <xdr:row>73</xdr:row>
      <xdr:rowOff>0</xdr:rowOff>
    </xdr:to>
    <xdr:sp macro="" textlink="">
      <xdr:nvSpPr>
        <xdr:cNvPr id="31704" name="Line 15"/>
        <xdr:cNvSpPr>
          <a:spLocks noChangeShapeType="1"/>
        </xdr:cNvSpPr>
      </xdr:nvSpPr>
      <xdr:spPr bwMode="auto">
        <a:xfrm>
          <a:off x="12096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73</xdr:row>
      <xdr:rowOff>0</xdr:rowOff>
    </xdr:from>
    <xdr:to>
      <xdr:col>5</xdr:col>
      <xdr:colOff>38100</xdr:colOff>
      <xdr:row>73</xdr:row>
      <xdr:rowOff>0</xdr:rowOff>
    </xdr:to>
    <xdr:sp macro="" textlink="">
      <xdr:nvSpPr>
        <xdr:cNvPr id="31705" name="Line 16"/>
        <xdr:cNvSpPr>
          <a:spLocks noChangeShapeType="1"/>
        </xdr:cNvSpPr>
      </xdr:nvSpPr>
      <xdr:spPr bwMode="auto">
        <a:xfrm>
          <a:off x="13430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73</xdr:row>
      <xdr:rowOff>0</xdr:rowOff>
    </xdr:from>
    <xdr:to>
      <xdr:col>4</xdr:col>
      <xdr:colOff>57150</xdr:colOff>
      <xdr:row>73</xdr:row>
      <xdr:rowOff>0</xdr:rowOff>
    </xdr:to>
    <xdr:sp macro="" textlink="">
      <xdr:nvSpPr>
        <xdr:cNvPr id="31706" name="Line 17"/>
        <xdr:cNvSpPr>
          <a:spLocks noChangeShapeType="1"/>
        </xdr:cNvSpPr>
      </xdr:nvSpPr>
      <xdr:spPr bwMode="auto">
        <a:xfrm>
          <a:off x="11144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73</xdr:row>
      <xdr:rowOff>0</xdr:rowOff>
    </xdr:from>
    <xdr:to>
      <xdr:col>3</xdr:col>
      <xdr:colOff>47625</xdr:colOff>
      <xdr:row>73</xdr:row>
      <xdr:rowOff>0</xdr:rowOff>
    </xdr:to>
    <xdr:sp macro="" textlink="">
      <xdr:nvSpPr>
        <xdr:cNvPr id="31707" name="Line 18"/>
        <xdr:cNvSpPr>
          <a:spLocks noChangeShapeType="1"/>
        </xdr:cNvSpPr>
      </xdr:nvSpPr>
      <xdr:spPr bwMode="auto">
        <a:xfrm>
          <a:off x="10572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73</xdr:row>
      <xdr:rowOff>0</xdr:rowOff>
    </xdr:from>
    <xdr:to>
      <xdr:col>4</xdr:col>
      <xdr:colOff>161925</xdr:colOff>
      <xdr:row>73</xdr:row>
      <xdr:rowOff>0</xdr:rowOff>
    </xdr:to>
    <xdr:sp macro="" textlink="">
      <xdr:nvSpPr>
        <xdr:cNvPr id="31708" name="Line 19"/>
        <xdr:cNvSpPr>
          <a:spLocks noChangeShapeType="1"/>
        </xdr:cNvSpPr>
      </xdr:nvSpPr>
      <xdr:spPr bwMode="auto">
        <a:xfrm>
          <a:off x="12192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19050</xdr:colOff>
      <xdr:row>73</xdr:row>
      <xdr:rowOff>0</xdr:rowOff>
    </xdr:from>
    <xdr:to>
      <xdr:col>13</xdr:col>
      <xdr:colOff>19050</xdr:colOff>
      <xdr:row>73</xdr:row>
      <xdr:rowOff>0</xdr:rowOff>
    </xdr:to>
    <xdr:sp macro="" textlink="">
      <xdr:nvSpPr>
        <xdr:cNvPr id="31709" name="Line 20"/>
        <xdr:cNvSpPr>
          <a:spLocks noChangeShapeType="1"/>
        </xdr:cNvSpPr>
      </xdr:nvSpPr>
      <xdr:spPr bwMode="auto">
        <a:xfrm>
          <a:off x="31432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73</xdr:row>
      <xdr:rowOff>0</xdr:rowOff>
    </xdr:from>
    <xdr:to>
      <xdr:col>12</xdr:col>
      <xdr:colOff>104775</xdr:colOff>
      <xdr:row>73</xdr:row>
      <xdr:rowOff>0</xdr:rowOff>
    </xdr:to>
    <xdr:sp macro="" textlink="">
      <xdr:nvSpPr>
        <xdr:cNvPr id="31710" name="Line 21"/>
        <xdr:cNvSpPr>
          <a:spLocks noChangeShapeType="1"/>
        </xdr:cNvSpPr>
      </xdr:nvSpPr>
      <xdr:spPr bwMode="auto">
        <a:xfrm>
          <a:off x="30384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73</xdr:row>
      <xdr:rowOff>0</xdr:rowOff>
    </xdr:from>
    <xdr:to>
      <xdr:col>13</xdr:col>
      <xdr:colOff>123825</xdr:colOff>
      <xdr:row>73</xdr:row>
      <xdr:rowOff>0</xdr:rowOff>
    </xdr:to>
    <xdr:sp macro="" textlink="">
      <xdr:nvSpPr>
        <xdr:cNvPr id="31711" name="Line 22"/>
        <xdr:cNvSpPr>
          <a:spLocks noChangeShapeType="1"/>
        </xdr:cNvSpPr>
      </xdr:nvSpPr>
      <xdr:spPr bwMode="auto">
        <a:xfrm>
          <a:off x="32480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73</xdr:row>
      <xdr:rowOff>0</xdr:rowOff>
    </xdr:from>
    <xdr:to>
      <xdr:col>13</xdr:col>
      <xdr:colOff>123825</xdr:colOff>
      <xdr:row>73</xdr:row>
      <xdr:rowOff>0</xdr:rowOff>
    </xdr:to>
    <xdr:sp macro="" textlink="">
      <xdr:nvSpPr>
        <xdr:cNvPr id="31712" name="Line 23"/>
        <xdr:cNvSpPr>
          <a:spLocks noChangeShapeType="1"/>
        </xdr:cNvSpPr>
      </xdr:nvSpPr>
      <xdr:spPr bwMode="auto">
        <a:xfrm>
          <a:off x="32480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142875</xdr:colOff>
      <xdr:row>73</xdr:row>
      <xdr:rowOff>0</xdr:rowOff>
    </xdr:from>
    <xdr:to>
      <xdr:col>10</xdr:col>
      <xdr:colOff>142875</xdr:colOff>
      <xdr:row>73</xdr:row>
      <xdr:rowOff>0</xdr:rowOff>
    </xdr:to>
    <xdr:sp macro="" textlink="">
      <xdr:nvSpPr>
        <xdr:cNvPr id="31713" name="Line 24"/>
        <xdr:cNvSpPr>
          <a:spLocks noChangeShapeType="1"/>
        </xdr:cNvSpPr>
      </xdr:nvSpPr>
      <xdr:spPr bwMode="auto">
        <a:xfrm>
          <a:off x="26479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95250</xdr:colOff>
      <xdr:row>73</xdr:row>
      <xdr:rowOff>0</xdr:rowOff>
    </xdr:from>
    <xdr:to>
      <xdr:col>11</xdr:col>
      <xdr:colOff>95250</xdr:colOff>
      <xdr:row>73</xdr:row>
      <xdr:rowOff>0</xdr:rowOff>
    </xdr:to>
    <xdr:sp macro="" textlink="">
      <xdr:nvSpPr>
        <xdr:cNvPr id="31714" name="Line 25"/>
        <xdr:cNvSpPr>
          <a:spLocks noChangeShapeType="1"/>
        </xdr:cNvSpPr>
      </xdr:nvSpPr>
      <xdr:spPr bwMode="auto">
        <a:xfrm>
          <a:off x="27813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190500</xdr:colOff>
      <xdr:row>73</xdr:row>
      <xdr:rowOff>0</xdr:rowOff>
    </xdr:from>
    <xdr:to>
      <xdr:col>11</xdr:col>
      <xdr:colOff>190500</xdr:colOff>
      <xdr:row>73</xdr:row>
      <xdr:rowOff>0</xdr:rowOff>
    </xdr:to>
    <xdr:sp macro="" textlink="">
      <xdr:nvSpPr>
        <xdr:cNvPr id="31715" name="Line 26"/>
        <xdr:cNvSpPr>
          <a:spLocks noChangeShapeType="1"/>
        </xdr:cNvSpPr>
      </xdr:nvSpPr>
      <xdr:spPr bwMode="auto">
        <a:xfrm>
          <a:off x="28765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73</xdr:row>
      <xdr:rowOff>0</xdr:rowOff>
    </xdr:from>
    <xdr:to>
      <xdr:col>12</xdr:col>
      <xdr:colOff>0</xdr:colOff>
      <xdr:row>73</xdr:row>
      <xdr:rowOff>0</xdr:rowOff>
    </xdr:to>
    <xdr:sp macro="" textlink="">
      <xdr:nvSpPr>
        <xdr:cNvPr id="31716" name="Line 27"/>
        <xdr:cNvSpPr>
          <a:spLocks noChangeShapeType="1"/>
        </xdr:cNvSpPr>
      </xdr:nvSpPr>
      <xdr:spPr bwMode="auto">
        <a:xfrm>
          <a:off x="29337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73</xdr:row>
      <xdr:rowOff>0</xdr:rowOff>
    </xdr:from>
    <xdr:to>
      <xdr:col>12</xdr:col>
      <xdr:colOff>104775</xdr:colOff>
      <xdr:row>73</xdr:row>
      <xdr:rowOff>0</xdr:rowOff>
    </xdr:to>
    <xdr:sp macro="" textlink="">
      <xdr:nvSpPr>
        <xdr:cNvPr id="31717" name="Line 28"/>
        <xdr:cNvSpPr>
          <a:spLocks noChangeShapeType="1"/>
        </xdr:cNvSpPr>
      </xdr:nvSpPr>
      <xdr:spPr bwMode="auto">
        <a:xfrm>
          <a:off x="30384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28575</xdr:colOff>
      <xdr:row>73</xdr:row>
      <xdr:rowOff>0</xdr:rowOff>
    </xdr:from>
    <xdr:to>
      <xdr:col>13</xdr:col>
      <xdr:colOff>28575</xdr:colOff>
      <xdr:row>73</xdr:row>
      <xdr:rowOff>0</xdr:rowOff>
    </xdr:to>
    <xdr:sp macro="" textlink="">
      <xdr:nvSpPr>
        <xdr:cNvPr id="31718" name="Line 29"/>
        <xdr:cNvSpPr>
          <a:spLocks noChangeShapeType="1"/>
        </xdr:cNvSpPr>
      </xdr:nvSpPr>
      <xdr:spPr bwMode="auto">
        <a:xfrm>
          <a:off x="31527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114300</xdr:colOff>
      <xdr:row>73</xdr:row>
      <xdr:rowOff>0</xdr:rowOff>
    </xdr:from>
    <xdr:to>
      <xdr:col>16</xdr:col>
      <xdr:colOff>114300</xdr:colOff>
      <xdr:row>73</xdr:row>
      <xdr:rowOff>0</xdr:rowOff>
    </xdr:to>
    <xdr:sp macro="" textlink="">
      <xdr:nvSpPr>
        <xdr:cNvPr id="31719" name="Line 30"/>
        <xdr:cNvSpPr>
          <a:spLocks noChangeShapeType="1"/>
        </xdr:cNvSpPr>
      </xdr:nvSpPr>
      <xdr:spPr bwMode="auto">
        <a:xfrm>
          <a:off x="38957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200025</xdr:colOff>
      <xdr:row>73</xdr:row>
      <xdr:rowOff>0</xdr:rowOff>
    </xdr:from>
    <xdr:to>
      <xdr:col>8</xdr:col>
      <xdr:colOff>200025</xdr:colOff>
      <xdr:row>73</xdr:row>
      <xdr:rowOff>0</xdr:rowOff>
    </xdr:to>
    <xdr:sp macro="" textlink="">
      <xdr:nvSpPr>
        <xdr:cNvPr id="31720" name="Line 31"/>
        <xdr:cNvSpPr>
          <a:spLocks noChangeShapeType="1"/>
        </xdr:cNvSpPr>
      </xdr:nvSpPr>
      <xdr:spPr bwMode="auto">
        <a:xfrm>
          <a:off x="21526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314325</xdr:colOff>
      <xdr:row>73</xdr:row>
      <xdr:rowOff>0</xdr:rowOff>
    </xdr:from>
    <xdr:to>
      <xdr:col>8</xdr:col>
      <xdr:colOff>314325</xdr:colOff>
      <xdr:row>73</xdr:row>
      <xdr:rowOff>0</xdr:rowOff>
    </xdr:to>
    <xdr:sp macro="" textlink="">
      <xdr:nvSpPr>
        <xdr:cNvPr id="31721" name="Line 32"/>
        <xdr:cNvSpPr>
          <a:spLocks noChangeShapeType="1"/>
        </xdr:cNvSpPr>
      </xdr:nvSpPr>
      <xdr:spPr bwMode="auto">
        <a:xfrm>
          <a:off x="22669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73</xdr:row>
      <xdr:rowOff>0</xdr:rowOff>
    </xdr:from>
    <xdr:to>
      <xdr:col>9</xdr:col>
      <xdr:colOff>9525</xdr:colOff>
      <xdr:row>73</xdr:row>
      <xdr:rowOff>0</xdr:rowOff>
    </xdr:to>
    <xdr:sp macro="" textlink="">
      <xdr:nvSpPr>
        <xdr:cNvPr id="31722" name="Line 33"/>
        <xdr:cNvSpPr>
          <a:spLocks noChangeShapeType="1"/>
        </xdr:cNvSpPr>
      </xdr:nvSpPr>
      <xdr:spPr bwMode="auto">
        <a:xfrm>
          <a:off x="23717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114300</xdr:colOff>
      <xdr:row>73</xdr:row>
      <xdr:rowOff>0</xdr:rowOff>
    </xdr:from>
    <xdr:to>
      <xdr:col>9</xdr:col>
      <xdr:colOff>114300</xdr:colOff>
      <xdr:row>73</xdr:row>
      <xdr:rowOff>0</xdr:rowOff>
    </xdr:to>
    <xdr:sp macro="" textlink="">
      <xdr:nvSpPr>
        <xdr:cNvPr id="31723" name="Line 34"/>
        <xdr:cNvSpPr>
          <a:spLocks noChangeShapeType="1"/>
        </xdr:cNvSpPr>
      </xdr:nvSpPr>
      <xdr:spPr bwMode="auto">
        <a:xfrm>
          <a:off x="24765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66675</xdr:colOff>
      <xdr:row>73</xdr:row>
      <xdr:rowOff>0</xdr:rowOff>
    </xdr:from>
    <xdr:to>
      <xdr:col>10</xdr:col>
      <xdr:colOff>66675</xdr:colOff>
      <xdr:row>73</xdr:row>
      <xdr:rowOff>0</xdr:rowOff>
    </xdr:to>
    <xdr:sp macro="" textlink="">
      <xdr:nvSpPr>
        <xdr:cNvPr id="31724" name="Line 35"/>
        <xdr:cNvSpPr>
          <a:spLocks noChangeShapeType="1"/>
        </xdr:cNvSpPr>
      </xdr:nvSpPr>
      <xdr:spPr bwMode="auto">
        <a:xfrm>
          <a:off x="25717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38100</xdr:colOff>
      <xdr:row>73</xdr:row>
      <xdr:rowOff>0</xdr:rowOff>
    </xdr:from>
    <xdr:to>
      <xdr:col>15</xdr:col>
      <xdr:colOff>38100</xdr:colOff>
      <xdr:row>73</xdr:row>
      <xdr:rowOff>0</xdr:rowOff>
    </xdr:to>
    <xdr:sp macro="" textlink="">
      <xdr:nvSpPr>
        <xdr:cNvPr id="31725" name="Line 36"/>
        <xdr:cNvSpPr>
          <a:spLocks noChangeShapeType="1"/>
        </xdr:cNvSpPr>
      </xdr:nvSpPr>
      <xdr:spPr bwMode="auto">
        <a:xfrm>
          <a:off x="35814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114300</xdr:colOff>
      <xdr:row>73</xdr:row>
      <xdr:rowOff>0</xdr:rowOff>
    </xdr:from>
    <xdr:to>
      <xdr:col>14</xdr:col>
      <xdr:colOff>114300</xdr:colOff>
      <xdr:row>73</xdr:row>
      <xdr:rowOff>0</xdr:rowOff>
    </xdr:to>
    <xdr:sp macro="" textlink="">
      <xdr:nvSpPr>
        <xdr:cNvPr id="31726" name="Line 37"/>
        <xdr:cNvSpPr>
          <a:spLocks noChangeShapeType="1"/>
        </xdr:cNvSpPr>
      </xdr:nvSpPr>
      <xdr:spPr bwMode="auto">
        <a:xfrm>
          <a:off x="34766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142875</xdr:colOff>
      <xdr:row>73</xdr:row>
      <xdr:rowOff>0</xdr:rowOff>
    </xdr:from>
    <xdr:to>
      <xdr:col>15</xdr:col>
      <xdr:colOff>142875</xdr:colOff>
      <xdr:row>73</xdr:row>
      <xdr:rowOff>0</xdr:rowOff>
    </xdr:to>
    <xdr:sp macro="" textlink="">
      <xdr:nvSpPr>
        <xdr:cNvPr id="31727" name="Line 38"/>
        <xdr:cNvSpPr>
          <a:spLocks noChangeShapeType="1"/>
        </xdr:cNvSpPr>
      </xdr:nvSpPr>
      <xdr:spPr bwMode="auto">
        <a:xfrm>
          <a:off x="36861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19050</xdr:colOff>
      <xdr:row>73</xdr:row>
      <xdr:rowOff>0</xdr:rowOff>
    </xdr:from>
    <xdr:to>
      <xdr:col>16</xdr:col>
      <xdr:colOff>19050</xdr:colOff>
      <xdr:row>73</xdr:row>
      <xdr:rowOff>0</xdr:rowOff>
    </xdr:to>
    <xdr:sp macro="" textlink="">
      <xdr:nvSpPr>
        <xdr:cNvPr id="31728" name="Line 39"/>
        <xdr:cNvSpPr>
          <a:spLocks noChangeShapeType="1"/>
        </xdr:cNvSpPr>
      </xdr:nvSpPr>
      <xdr:spPr bwMode="auto">
        <a:xfrm>
          <a:off x="38004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123825</xdr:colOff>
      <xdr:row>73</xdr:row>
      <xdr:rowOff>0</xdr:rowOff>
    </xdr:from>
    <xdr:to>
      <xdr:col>16</xdr:col>
      <xdr:colOff>123825</xdr:colOff>
      <xdr:row>73</xdr:row>
      <xdr:rowOff>0</xdr:rowOff>
    </xdr:to>
    <xdr:sp macro="" textlink="">
      <xdr:nvSpPr>
        <xdr:cNvPr id="31729" name="Line 40"/>
        <xdr:cNvSpPr>
          <a:spLocks noChangeShapeType="1"/>
        </xdr:cNvSpPr>
      </xdr:nvSpPr>
      <xdr:spPr bwMode="auto">
        <a:xfrm>
          <a:off x="390525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47625</xdr:colOff>
      <xdr:row>73</xdr:row>
      <xdr:rowOff>0</xdr:rowOff>
    </xdr:from>
    <xdr:to>
      <xdr:col>4</xdr:col>
      <xdr:colOff>47625</xdr:colOff>
      <xdr:row>73</xdr:row>
      <xdr:rowOff>0</xdr:rowOff>
    </xdr:to>
    <xdr:sp macro="" textlink="">
      <xdr:nvSpPr>
        <xdr:cNvPr id="31730" name="Line 41"/>
        <xdr:cNvSpPr>
          <a:spLocks noChangeShapeType="1"/>
        </xdr:cNvSpPr>
      </xdr:nvSpPr>
      <xdr:spPr bwMode="auto">
        <a:xfrm>
          <a:off x="11049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73</xdr:row>
      <xdr:rowOff>0</xdr:rowOff>
    </xdr:from>
    <xdr:to>
      <xdr:col>3</xdr:col>
      <xdr:colOff>47625</xdr:colOff>
      <xdr:row>73</xdr:row>
      <xdr:rowOff>0</xdr:rowOff>
    </xdr:to>
    <xdr:sp macro="" textlink="">
      <xdr:nvSpPr>
        <xdr:cNvPr id="31731" name="Line 42"/>
        <xdr:cNvSpPr>
          <a:spLocks noChangeShapeType="1"/>
        </xdr:cNvSpPr>
      </xdr:nvSpPr>
      <xdr:spPr bwMode="auto">
        <a:xfrm>
          <a:off x="10572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73</xdr:row>
      <xdr:rowOff>0</xdr:rowOff>
    </xdr:from>
    <xdr:to>
      <xdr:col>4</xdr:col>
      <xdr:colOff>247650</xdr:colOff>
      <xdr:row>73</xdr:row>
      <xdr:rowOff>0</xdr:rowOff>
    </xdr:to>
    <xdr:sp macro="" textlink="">
      <xdr:nvSpPr>
        <xdr:cNvPr id="31732" name="Line 43"/>
        <xdr:cNvSpPr>
          <a:spLocks noChangeShapeType="1"/>
        </xdr:cNvSpPr>
      </xdr:nvSpPr>
      <xdr:spPr bwMode="auto">
        <a:xfrm>
          <a:off x="13049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73</xdr:row>
      <xdr:rowOff>0</xdr:rowOff>
    </xdr:from>
    <xdr:to>
      <xdr:col>4</xdr:col>
      <xdr:colOff>152400</xdr:colOff>
      <xdr:row>73</xdr:row>
      <xdr:rowOff>0</xdr:rowOff>
    </xdr:to>
    <xdr:sp macro="" textlink="">
      <xdr:nvSpPr>
        <xdr:cNvPr id="31733" name="Line 44"/>
        <xdr:cNvSpPr>
          <a:spLocks noChangeShapeType="1"/>
        </xdr:cNvSpPr>
      </xdr:nvSpPr>
      <xdr:spPr bwMode="auto">
        <a:xfrm>
          <a:off x="12096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73</xdr:row>
      <xdr:rowOff>0</xdr:rowOff>
    </xdr:from>
    <xdr:to>
      <xdr:col>5</xdr:col>
      <xdr:colOff>38100</xdr:colOff>
      <xdr:row>73</xdr:row>
      <xdr:rowOff>0</xdr:rowOff>
    </xdr:to>
    <xdr:sp macro="" textlink="">
      <xdr:nvSpPr>
        <xdr:cNvPr id="31734" name="Line 45"/>
        <xdr:cNvSpPr>
          <a:spLocks noChangeShapeType="1"/>
        </xdr:cNvSpPr>
      </xdr:nvSpPr>
      <xdr:spPr bwMode="auto">
        <a:xfrm>
          <a:off x="13430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73</xdr:row>
      <xdr:rowOff>0</xdr:rowOff>
    </xdr:from>
    <xdr:to>
      <xdr:col>4</xdr:col>
      <xdr:colOff>57150</xdr:colOff>
      <xdr:row>73</xdr:row>
      <xdr:rowOff>0</xdr:rowOff>
    </xdr:to>
    <xdr:sp macro="" textlink="">
      <xdr:nvSpPr>
        <xdr:cNvPr id="31735" name="Line 46"/>
        <xdr:cNvSpPr>
          <a:spLocks noChangeShapeType="1"/>
        </xdr:cNvSpPr>
      </xdr:nvSpPr>
      <xdr:spPr bwMode="auto">
        <a:xfrm>
          <a:off x="111442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73</xdr:row>
      <xdr:rowOff>0</xdr:rowOff>
    </xdr:from>
    <xdr:to>
      <xdr:col>3</xdr:col>
      <xdr:colOff>47625</xdr:colOff>
      <xdr:row>73</xdr:row>
      <xdr:rowOff>0</xdr:rowOff>
    </xdr:to>
    <xdr:sp macro="" textlink="">
      <xdr:nvSpPr>
        <xdr:cNvPr id="31736" name="Line 47"/>
        <xdr:cNvSpPr>
          <a:spLocks noChangeShapeType="1"/>
        </xdr:cNvSpPr>
      </xdr:nvSpPr>
      <xdr:spPr bwMode="auto">
        <a:xfrm>
          <a:off x="1057275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73</xdr:row>
      <xdr:rowOff>0</xdr:rowOff>
    </xdr:from>
    <xdr:to>
      <xdr:col>4</xdr:col>
      <xdr:colOff>161925</xdr:colOff>
      <xdr:row>73</xdr:row>
      <xdr:rowOff>0</xdr:rowOff>
    </xdr:to>
    <xdr:sp macro="" textlink="">
      <xdr:nvSpPr>
        <xdr:cNvPr id="31737" name="Line 48"/>
        <xdr:cNvSpPr>
          <a:spLocks noChangeShapeType="1"/>
        </xdr:cNvSpPr>
      </xdr:nvSpPr>
      <xdr:spPr bwMode="auto">
        <a:xfrm>
          <a:off x="1219200" y="1197292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29</xdr:row>
          <xdr:rowOff>28575</xdr:rowOff>
        </xdr:from>
        <xdr:to>
          <xdr:col>7</xdr:col>
          <xdr:colOff>76200</xdr:colOff>
          <xdr:row>29</xdr:row>
          <xdr:rowOff>247650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29</xdr:row>
          <xdr:rowOff>28575</xdr:rowOff>
        </xdr:from>
        <xdr:to>
          <xdr:col>10</xdr:col>
          <xdr:colOff>114300</xdr:colOff>
          <xdr:row>29</xdr:row>
          <xdr:rowOff>247650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30</xdr:row>
          <xdr:rowOff>28575</xdr:rowOff>
        </xdr:from>
        <xdr:to>
          <xdr:col>7</xdr:col>
          <xdr:colOff>76200</xdr:colOff>
          <xdr:row>30</xdr:row>
          <xdr:rowOff>247650</xdr:rowOff>
        </xdr:to>
        <xdr:sp macro="" textlink="">
          <xdr:nvSpPr>
            <xdr:cNvPr id="21481" name="Check Box 16361" hidden="1">
              <a:extLst>
                <a:ext uri="{63B3BB69-23CF-44E3-9099-C40C66FF867C}">
                  <a14:compatExt spid="_x0000_s21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30</xdr:row>
          <xdr:rowOff>28575</xdr:rowOff>
        </xdr:from>
        <xdr:to>
          <xdr:col>10</xdr:col>
          <xdr:colOff>114300</xdr:colOff>
          <xdr:row>30</xdr:row>
          <xdr:rowOff>247650</xdr:rowOff>
        </xdr:to>
        <xdr:sp macro="" textlink="">
          <xdr:nvSpPr>
            <xdr:cNvPr id="21519" name="Check Box 16399" hidden="1">
              <a:extLst>
                <a:ext uri="{63B3BB69-23CF-44E3-9099-C40C66FF867C}">
                  <a14:compatExt spid="_x0000_s215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B1:BL110"/>
  <sheetViews>
    <sheetView showGridLines="0" showRowColHeaders="0" tabSelected="1" showRuler="0" view="pageLayout" zoomScale="130" zoomScaleNormal="100" zoomScaleSheetLayoutView="85" zoomScalePageLayoutView="130" workbookViewId="0">
      <selection activeCell="AF14" sqref="AF14:AJ14"/>
    </sheetView>
  </sheetViews>
  <sheetFormatPr defaultColWidth="4.7109375" defaultRowHeight="10.5" x14ac:dyDescent="0.15"/>
  <cols>
    <col min="1" max="1" width="4.7109375" style="1"/>
    <col min="2" max="2" width="6.28515625" style="1" customWidth="1"/>
    <col min="3" max="3" width="3.42578125" style="1" customWidth="1"/>
    <col min="4" max="4" width="1.42578125" style="1" customWidth="1"/>
    <col min="5" max="5" width="3.7109375" style="1" customWidth="1"/>
    <col min="6" max="6" width="3.5703125" style="1" customWidth="1"/>
    <col min="7" max="7" width="2" style="1" customWidth="1"/>
    <col min="8" max="8" width="4.140625" style="1" customWidth="1"/>
    <col min="9" max="9" width="6.140625" style="1" customWidth="1"/>
    <col min="10" max="10" width="2.140625" style="1" customWidth="1"/>
    <col min="11" max="11" width="2.7109375" style="1" customWidth="1"/>
    <col min="12" max="12" width="3.7109375" style="1" customWidth="1"/>
    <col min="13" max="13" width="2.85546875" style="1" customWidth="1"/>
    <col min="14" max="14" width="3.5703125" style="1" customWidth="1"/>
    <col min="15" max="15" width="2.7109375" style="1" customWidth="1"/>
    <col min="16" max="16" width="3.5703125" style="1" customWidth="1"/>
    <col min="17" max="17" width="3.42578125" style="1" customWidth="1"/>
    <col min="18" max="18" width="3.28515625" style="1" customWidth="1"/>
    <col min="19" max="19" width="4.140625" style="1" customWidth="1"/>
    <col min="20" max="20" width="1.5703125" style="1" customWidth="1"/>
    <col min="21" max="21" width="1.140625" style="1" customWidth="1"/>
    <col min="22" max="22" width="7.7109375" style="1" customWidth="1"/>
    <col min="23" max="23" width="1.28515625" style="1" customWidth="1"/>
    <col min="24" max="24" width="5.28515625" style="1" customWidth="1"/>
    <col min="25" max="25" width="0.7109375" style="1" customWidth="1"/>
    <col min="26" max="26" width="4.5703125" style="1" customWidth="1"/>
    <col min="27" max="27" width="2.85546875" style="1" customWidth="1"/>
    <col min="28" max="28" width="2.28515625" style="1" customWidth="1"/>
    <col min="29" max="29" width="3.28515625" style="1" customWidth="1"/>
    <col min="30" max="30" width="4.140625" style="1" customWidth="1"/>
    <col min="31" max="32" width="1.28515625" style="1" customWidth="1"/>
    <col min="33" max="34" width="2.42578125" style="1" customWidth="1"/>
    <col min="35" max="35" width="1" style="1" customWidth="1"/>
    <col min="36" max="36" width="3" style="1" customWidth="1"/>
    <col min="37" max="37" width="2.85546875" style="1" customWidth="1"/>
    <col min="38" max="38" width="3" style="1" customWidth="1"/>
    <col min="39" max="39" width="2.28515625" style="1" customWidth="1"/>
    <col min="40" max="40" width="4.7109375" style="1" customWidth="1"/>
    <col min="41" max="41" width="5" style="1" bestFit="1" customWidth="1"/>
    <col min="42" max="42" width="4.7109375" style="1"/>
    <col min="43" max="43" width="12.42578125" style="1" bestFit="1" customWidth="1"/>
    <col min="44" max="47" width="4.7109375" style="1"/>
    <col min="48" max="48" width="4.7109375" style="2"/>
    <col min="49" max="49" width="11.140625" style="1" customWidth="1"/>
    <col min="50" max="50" width="9.42578125" style="1" customWidth="1"/>
    <col min="51" max="51" width="4.7109375" style="1"/>
    <col min="52" max="52" width="8.85546875" style="1" customWidth="1"/>
    <col min="53" max="53" width="8.140625" customWidth="1"/>
    <col min="54" max="16384" width="4.7109375" style="1"/>
  </cols>
  <sheetData>
    <row r="1" spans="2:64" ht="15" customHeight="1" x14ac:dyDescent="0.15">
      <c r="B1" s="409" t="str">
        <f>IF(LANGUAGE="English","Aarhus University","Aarhus Universitet")</f>
        <v>Aarhus University</v>
      </c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23"/>
      <c r="R1" s="23"/>
      <c r="S1" s="23"/>
      <c r="T1" s="23"/>
      <c r="U1" s="23"/>
      <c r="V1" s="23"/>
      <c r="W1" s="23"/>
      <c r="X1" s="78" t="s">
        <v>177</v>
      </c>
      <c r="Y1" s="76"/>
      <c r="AB1" s="23"/>
      <c r="AC1" s="23"/>
      <c r="AD1" s="23"/>
      <c r="AE1" s="23"/>
      <c r="AF1" s="23"/>
      <c r="AG1" s="23"/>
      <c r="AH1" s="433" t="s">
        <v>167</v>
      </c>
      <c r="AI1" s="433"/>
      <c r="AJ1" s="433"/>
      <c r="AK1" s="433"/>
      <c r="AL1" s="433"/>
      <c r="AM1" s="433"/>
      <c r="AN1" s="433"/>
      <c r="AO1" s="25"/>
      <c r="AP1" s="25"/>
      <c r="AQ1" s="25"/>
      <c r="AR1" s="3"/>
      <c r="AS1" s="3"/>
      <c r="AT1" s="3"/>
      <c r="AU1" s="3"/>
      <c r="AV1" s="5"/>
      <c r="AW1" s="3"/>
      <c r="AX1" s="3"/>
    </row>
    <row r="2" spans="2:64" s="3" customFormat="1" ht="13.5" customHeight="1" x14ac:dyDescent="0.15"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196"/>
      <c r="R2" s="407"/>
      <c r="S2" s="407"/>
      <c r="T2" s="407"/>
      <c r="U2" s="407"/>
      <c r="V2" s="407"/>
      <c r="W2" s="407"/>
      <c r="X2" s="434" t="s">
        <v>181</v>
      </c>
      <c r="Y2" s="435"/>
      <c r="Z2" s="435"/>
      <c r="AA2" s="435"/>
      <c r="AB2" s="435"/>
      <c r="AC2" s="435"/>
      <c r="AK2" s="280" t="s">
        <v>158</v>
      </c>
      <c r="AL2" s="280"/>
      <c r="AM2" s="280"/>
      <c r="AN2" s="280"/>
      <c r="BB2" s="6"/>
      <c r="BC2" s="6"/>
      <c r="BD2" s="6"/>
    </row>
    <row r="3" spans="2:64" ht="15.75" customHeight="1" x14ac:dyDescent="0.15">
      <c r="B3" s="281" t="str">
        <f>Type</f>
        <v>Travel Statement</v>
      </c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"/>
      <c r="AP3" s="3"/>
      <c r="AQ3" s="3"/>
      <c r="AR3" s="3"/>
      <c r="AS3" s="3"/>
      <c r="AT3" s="3"/>
      <c r="AU3" s="3"/>
      <c r="AV3" s="5"/>
      <c r="AW3" s="3"/>
      <c r="AX3" s="3"/>
      <c r="AY3" s="3"/>
      <c r="AZ3" s="3"/>
      <c r="BA3" s="7"/>
      <c r="BB3" s="3"/>
      <c r="BC3" s="3"/>
      <c r="BD3" s="3"/>
      <c r="BE3" s="3"/>
    </row>
    <row r="4" spans="2:64" ht="6" customHeight="1" x14ac:dyDescent="0.15">
      <c r="B4" s="320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"/>
      <c r="AP4" s="3"/>
      <c r="AQ4" s="3"/>
      <c r="AR4" s="3"/>
      <c r="AS4" s="3"/>
      <c r="AT4" s="3"/>
      <c r="AU4" s="3"/>
      <c r="AV4" s="5"/>
      <c r="AW4" s="3"/>
      <c r="AX4" s="3"/>
      <c r="AY4" s="3"/>
      <c r="AZ4" s="3"/>
      <c r="BA4" s="7"/>
      <c r="BB4" s="3"/>
      <c r="BC4" s="3"/>
      <c r="BD4" s="3"/>
      <c r="BE4" s="3"/>
    </row>
    <row r="5" spans="2:64" ht="18" customHeight="1" x14ac:dyDescent="0.15">
      <c r="B5" s="322" t="str">
        <f>IF(LANGUAGE="English","Occupation:","Stilling")</f>
        <v>Occupation:</v>
      </c>
      <c r="C5" s="286"/>
      <c r="D5" s="286"/>
      <c r="E5" s="286"/>
      <c r="F5" s="287"/>
      <c r="G5" s="323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296"/>
      <c r="U5" s="297"/>
      <c r="V5" s="297"/>
      <c r="W5" s="273" t="str">
        <f>IF(LANGUAGE="English","Date of birth (or CPR No.):","Cpr.nr. (skal udfyldes):")</f>
        <v>Date of birth (or CPR No.):</v>
      </c>
      <c r="X5" s="375"/>
      <c r="Y5" s="375"/>
      <c r="Z5" s="375"/>
      <c r="AA5" s="375"/>
      <c r="AB5" s="375"/>
      <c r="AC5" s="375"/>
      <c r="AD5" s="376"/>
      <c r="AE5" s="355" t="s">
        <v>258</v>
      </c>
      <c r="AF5" s="356"/>
      <c r="AG5" s="357"/>
      <c r="AH5" s="357"/>
      <c r="AI5" s="357"/>
      <c r="AJ5" s="357"/>
      <c r="AK5" s="357"/>
      <c r="AL5" s="357"/>
      <c r="AM5" s="357"/>
      <c r="AN5" s="358"/>
      <c r="AO5" s="3"/>
      <c r="AP5" s="3"/>
      <c r="AQ5" s="3"/>
      <c r="AR5" s="3"/>
      <c r="AS5" s="3"/>
      <c r="AT5" s="3"/>
      <c r="AU5" s="3"/>
      <c r="AV5" s="5"/>
      <c r="AW5" s="3"/>
      <c r="AX5" s="3"/>
      <c r="AY5" s="3"/>
      <c r="AZ5" s="3"/>
      <c r="BA5" s="7"/>
      <c r="BB5" s="3"/>
      <c r="BC5" s="3"/>
      <c r="BD5" s="3"/>
      <c r="BE5" s="3"/>
    </row>
    <row r="6" spans="2:64" ht="18" customHeight="1" x14ac:dyDescent="0.15">
      <c r="B6" s="322" t="str">
        <f>IF(LANGUAGE="English","Name:","Navn")</f>
        <v>Name:</v>
      </c>
      <c r="C6" s="286"/>
      <c r="D6" s="286"/>
      <c r="E6" s="286"/>
      <c r="F6" s="287"/>
      <c r="G6" s="300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  <c r="S6" s="301"/>
      <c r="T6" s="296"/>
      <c r="U6" s="297"/>
      <c r="V6" s="297"/>
      <c r="W6" s="250" t="str">
        <f>IF(LANGUAGE="English","Please transfer payment to:","Beløbet overføres til Nemkontoen tilknyttet angivet cpr.nr.")</f>
        <v>Please transfer payment to:</v>
      </c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3"/>
      <c r="AP6" s="3"/>
      <c r="AQ6" s="3"/>
      <c r="AR6" s="3"/>
      <c r="AS6" s="3"/>
      <c r="AT6" s="3"/>
      <c r="AU6" s="3"/>
      <c r="AV6" s="5"/>
      <c r="AW6" s="3"/>
      <c r="AX6" s="3"/>
      <c r="AY6" s="3"/>
      <c r="AZ6" s="3"/>
      <c r="BA6" s="7"/>
      <c r="BB6" s="3"/>
      <c r="BC6" s="3"/>
      <c r="BD6" s="3"/>
      <c r="BE6" s="3"/>
    </row>
    <row r="7" spans="2:64" ht="21" customHeight="1" x14ac:dyDescent="0.15">
      <c r="B7" s="322" t="str">
        <f>IF(LANGUAGE="English","Home adress:","Privat address:")</f>
        <v>Home adress:</v>
      </c>
      <c r="C7" s="286"/>
      <c r="D7" s="286"/>
      <c r="E7" s="286"/>
      <c r="F7" s="287"/>
      <c r="G7" s="302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4"/>
      <c r="T7" s="296"/>
      <c r="U7" s="297"/>
      <c r="V7" s="297"/>
      <c r="W7" s="273" t="s">
        <v>159</v>
      </c>
      <c r="X7" s="274"/>
      <c r="Y7" s="274"/>
      <c r="Z7" s="274"/>
      <c r="AA7" s="274"/>
      <c r="AB7" s="352"/>
      <c r="AC7" s="353"/>
      <c r="AD7" s="353"/>
      <c r="AE7" s="353"/>
      <c r="AF7" s="353"/>
      <c r="AG7" s="353"/>
      <c r="AH7" s="353"/>
      <c r="AI7" s="353"/>
      <c r="AJ7" s="353"/>
      <c r="AK7" s="353"/>
      <c r="AL7" s="353"/>
      <c r="AM7" s="353"/>
      <c r="AN7" s="354"/>
      <c r="AO7" s="3"/>
      <c r="AP7" s="3"/>
      <c r="AQ7" s="3"/>
      <c r="AR7" s="3"/>
      <c r="AS7" s="3"/>
      <c r="AT7" s="3"/>
      <c r="AU7" s="3"/>
      <c r="AV7" s="5"/>
      <c r="AW7" s="3"/>
      <c r="AX7" s="3"/>
      <c r="AY7" s="3"/>
      <c r="AZ7" s="3"/>
      <c r="BA7" s="7"/>
      <c r="BB7" s="3"/>
      <c r="BC7" s="3"/>
      <c r="BD7" s="3"/>
      <c r="BE7" s="3"/>
      <c r="BF7" s="3"/>
    </row>
    <row r="8" spans="2:64" ht="18" customHeight="1" x14ac:dyDescent="0.15">
      <c r="B8" s="367"/>
      <c r="C8" s="368"/>
      <c r="D8" s="368"/>
      <c r="E8" s="368"/>
      <c r="F8" s="369"/>
      <c r="G8" s="380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2"/>
      <c r="T8" s="296"/>
      <c r="U8" s="297"/>
      <c r="V8" s="297"/>
      <c r="W8" s="273" t="s">
        <v>160</v>
      </c>
      <c r="X8" s="274"/>
      <c r="Y8" s="274"/>
      <c r="Z8" s="274"/>
      <c r="AA8" s="274"/>
      <c r="AB8" s="359"/>
      <c r="AC8" s="360"/>
      <c r="AD8" s="360"/>
      <c r="AE8" s="360"/>
      <c r="AF8" s="360"/>
      <c r="AG8" s="360"/>
      <c r="AH8" s="360"/>
      <c r="AI8" s="360"/>
      <c r="AJ8" s="360"/>
      <c r="AK8" s="360"/>
      <c r="AL8" s="360"/>
      <c r="AM8" s="360"/>
      <c r="AN8" s="361"/>
      <c r="AO8" s="3"/>
      <c r="AP8" s="3"/>
      <c r="AQ8" s="3"/>
      <c r="AR8" s="3"/>
      <c r="AS8" s="3"/>
      <c r="AT8" s="3"/>
      <c r="AU8" s="3"/>
      <c r="AV8" s="5"/>
      <c r="AW8" s="3"/>
      <c r="AX8" s="3"/>
      <c r="AY8" s="3"/>
      <c r="AZ8" s="3"/>
      <c r="BA8" s="7"/>
      <c r="BB8" s="3"/>
      <c r="BC8" s="3"/>
      <c r="BD8" s="3"/>
      <c r="BE8" s="3"/>
      <c r="BF8" s="3"/>
    </row>
    <row r="9" spans="2:64" ht="18" customHeight="1" x14ac:dyDescent="0.15">
      <c r="B9" s="282" t="str">
        <f>IF(LANGUAGE="English","Postal Code &amp;City:","Postnr. og by:")</f>
        <v>Postal Code &amp;City:</v>
      </c>
      <c r="C9" s="283"/>
      <c r="D9" s="283"/>
      <c r="E9" s="283"/>
      <c r="F9" s="284"/>
      <c r="G9" s="384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6"/>
      <c r="T9" s="296"/>
      <c r="U9" s="297"/>
      <c r="V9" s="297"/>
      <c r="W9" s="273" t="s">
        <v>161</v>
      </c>
      <c r="X9" s="274"/>
      <c r="Y9" s="274"/>
      <c r="Z9" s="274"/>
      <c r="AA9" s="274"/>
      <c r="AB9" s="359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1"/>
      <c r="AO9" s="3"/>
      <c r="AP9" s="3"/>
      <c r="AQ9" s="3"/>
      <c r="AR9" s="3"/>
      <c r="AS9" s="3"/>
      <c r="AT9" s="3"/>
      <c r="AU9" s="3"/>
      <c r="AV9" s="5"/>
      <c r="AW9" s="3"/>
      <c r="AX9" s="3"/>
      <c r="AY9" s="3"/>
      <c r="AZ9" s="3"/>
      <c r="BA9" s="7"/>
      <c r="BB9" s="3"/>
      <c r="BC9" s="3"/>
      <c r="BD9" s="3"/>
      <c r="BE9" s="3"/>
      <c r="BF9" s="3"/>
    </row>
    <row r="10" spans="2:64" ht="15.75" customHeight="1" x14ac:dyDescent="0.15">
      <c r="B10" s="273" t="s">
        <v>164</v>
      </c>
      <c r="C10" s="274"/>
      <c r="D10" s="274"/>
      <c r="E10" s="274"/>
      <c r="F10" s="383"/>
      <c r="G10" s="190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2"/>
      <c r="T10" s="374"/>
      <c r="U10" s="297"/>
      <c r="V10" s="297"/>
      <c r="W10" s="273" t="s">
        <v>162</v>
      </c>
      <c r="X10" s="274"/>
      <c r="Y10" s="274"/>
      <c r="Z10" s="274"/>
      <c r="AA10" s="274"/>
      <c r="AB10" s="359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1"/>
      <c r="AO10" s="3"/>
      <c r="AP10" s="3"/>
      <c r="AQ10" s="3"/>
      <c r="AR10" s="3"/>
      <c r="AS10" s="3"/>
      <c r="AT10" s="3"/>
      <c r="AU10" s="3"/>
      <c r="AV10" s="5"/>
      <c r="AW10" s="3"/>
      <c r="AX10" s="3"/>
      <c r="AY10" s="3"/>
      <c r="AZ10" s="3"/>
      <c r="BA10" s="7"/>
      <c r="BB10" s="3"/>
      <c r="BC10" s="3"/>
      <c r="BD10" s="3"/>
      <c r="BE10" s="3"/>
      <c r="BF10" s="3"/>
    </row>
    <row r="11" spans="2:64" ht="15.75" customHeight="1" x14ac:dyDescent="0.15">
      <c r="B11" s="27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273" t="s">
        <v>163</v>
      </c>
      <c r="X11" s="274"/>
      <c r="Y11" s="274"/>
      <c r="Z11" s="274"/>
      <c r="AA11" s="274"/>
      <c r="AB11" s="383"/>
      <c r="AC11" s="359"/>
      <c r="AD11" s="370"/>
      <c r="AE11" s="370"/>
      <c r="AF11" s="370"/>
      <c r="AG11" s="370"/>
      <c r="AH11" s="370"/>
      <c r="AI11" s="370"/>
      <c r="AJ11" s="370"/>
      <c r="AK11" s="371" t="str">
        <f>IF(Valuta="Other","Please enter","")</f>
        <v/>
      </c>
      <c r="AL11" s="372"/>
      <c r="AM11" s="372"/>
      <c r="AN11" s="373"/>
      <c r="AO11" s="3"/>
      <c r="AP11" s="3"/>
      <c r="AQ11" s="3"/>
      <c r="AR11" s="3"/>
      <c r="AS11" s="3"/>
      <c r="AT11" s="3"/>
      <c r="AU11" s="3"/>
      <c r="AV11" s="5"/>
      <c r="AW11" s="3"/>
      <c r="AX11" s="3"/>
      <c r="AY11" s="3"/>
      <c r="AZ11" s="3"/>
      <c r="BA11" s="7"/>
      <c r="BB11" s="3"/>
      <c r="BC11" s="3"/>
      <c r="BD11" s="3"/>
      <c r="BE11" s="3"/>
      <c r="BF11" s="3"/>
    </row>
    <row r="12" spans="2:64" ht="6" customHeight="1" x14ac:dyDescent="0.15"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3"/>
      <c r="AP12" s="3"/>
      <c r="AQ12" s="3"/>
      <c r="AR12" s="3"/>
      <c r="AS12" s="3"/>
      <c r="AT12" s="3"/>
      <c r="AU12" s="3"/>
      <c r="AV12" s="5"/>
      <c r="AW12" s="3"/>
      <c r="AX12" s="3"/>
      <c r="AY12" s="3"/>
      <c r="AZ12" s="3"/>
      <c r="BA12" s="7"/>
      <c r="BB12" s="3"/>
      <c r="BC12" s="3"/>
      <c r="BD12" s="3"/>
      <c r="BE12" s="3"/>
      <c r="BF12" s="3"/>
    </row>
    <row r="13" spans="2:64" ht="17.25" customHeight="1" x14ac:dyDescent="0.15">
      <c r="B13" s="285" t="str">
        <f>IF(LANGUAGE="English","Destination","Rejsemål:")</f>
        <v>Destination</v>
      </c>
      <c r="C13" s="286"/>
      <c r="D13" s="286"/>
      <c r="E13" s="286"/>
      <c r="F13" s="287"/>
      <c r="G13" s="378" t="str">
        <f>IF(LANGUAGE="English","Place","Sted:")</f>
        <v>Place</v>
      </c>
      <c r="H13" s="379"/>
      <c r="I13" s="344"/>
      <c r="J13" s="344"/>
      <c r="K13" s="344"/>
      <c r="L13" s="344"/>
      <c r="M13" s="344"/>
      <c r="N13" s="344"/>
      <c r="O13" s="344"/>
      <c r="P13" s="344"/>
      <c r="Q13" s="344"/>
      <c r="R13" s="344"/>
      <c r="S13" s="345"/>
      <c r="T13" s="296"/>
      <c r="U13" s="297"/>
      <c r="V13" s="298"/>
      <c r="W13" s="311" t="str">
        <f>IF(LANGUAGE="English","Departure","Afrejse")</f>
        <v>Departure</v>
      </c>
      <c r="X13" s="174"/>
      <c r="Y13" s="174"/>
      <c r="Z13" s="312"/>
      <c r="AA13" s="363" t="str">
        <f>IF(LANGUAGE="English","Date (dd-mm-yyyy):","Dato (dd-mm-åååå):")</f>
        <v>Date (dd-mm-yyyy):</v>
      </c>
      <c r="AB13" s="195"/>
      <c r="AC13" s="195"/>
      <c r="AD13" s="195"/>
      <c r="AE13" s="195"/>
      <c r="AF13" s="195"/>
      <c r="AG13" s="195"/>
      <c r="AH13" s="195"/>
      <c r="AI13" s="195"/>
      <c r="AJ13" s="364"/>
      <c r="AK13" s="263" t="str">
        <f>IF(LANGUAGE="English","Time (hh:mm):","Kl. (tt:mm):")</f>
        <v>Time (hh:mm):</v>
      </c>
      <c r="AL13" s="250"/>
      <c r="AM13" s="250"/>
      <c r="AN13" s="251"/>
      <c r="AO13" s="3"/>
      <c r="AP13" s="3"/>
      <c r="AQ13"/>
      <c r="AR13" s="3"/>
      <c r="AS13" s="3"/>
      <c r="AT13" s="3"/>
      <c r="AU13" s="3"/>
      <c r="AV13" s="5"/>
      <c r="AW13" s="3"/>
      <c r="AX13" s="3"/>
      <c r="AY13" s="3"/>
      <c r="AZ13" s="3"/>
      <c r="BA13" s="7"/>
      <c r="BB13" s="3"/>
      <c r="BC13" s="3"/>
      <c r="BD13" s="3"/>
      <c r="BE13" s="3"/>
      <c r="BF13" s="3"/>
    </row>
    <row r="14" spans="2:64" ht="15.75" customHeight="1" x14ac:dyDescent="0.15">
      <c r="B14" s="282"/>
      <c r="C14" s="288"/>
      <c r="D14" s="288"/>
      <c r="E14" s="288"/>
      <c r="F14" s="289"/>
      <c r="G14" s="308" t="str">
        <f>IF(LANGUAGE="English","Country:","Land:")</f>
        <v>Country:</v>
      </c>
      <c r="H14" s="309"/>
      <c r="I14" s="310"/>
      <c r="J14" s="454" t="s">
        <v>85</v>
      </c>
      <c r="K14" s="455"/>
      <c r="L14" s="455"/>
      <c r="M14" s="455"/>
      <c r="N14" s="455"/>
      <c r="O14" s="455"/>
      <c r="P14" s="455"/>
      <c r="Q14" s="455"/>
      <c r="R14" s="29"/>
      <c r="S14" s="30"/>
      <c r="T14" s="296"/>
      <c r="U14" s="297"/>
      <c r="V14" s="298"/>
      <c r="W14" s="313"/>
      <c r="X14" s="314"/>
      <c r="Y14" s="314"/>
      <c r="Z14" s="315"/>
      <c r="AA14" s="365"/>
      <c r="AB14" s="366"/>
      <c r="AC14" s="31" t="s">
        <v>3</v>
      </c>
      <c r="AD14" s="32"/>
      <c r="AE14" s="31"/>
      <c r="AF14" s="230">
        <v>2017</v>
      </c>
      <c r="AG14" s="230"/>
      <c r="AH14" s="230"/>
      <c r="AI14" s="230"/>
      <c r="AJ14" s="231"/>
      <c r="AK14" s="403"/>
      <c r="AL14" s="404"/>
      <c r="AM14" s="33" t="s">
        <v>4</v>
      </c>
      <c r="AN14" s="34"/>
      <c r="AO14" s="3"/>
      <c r="AP14" s="3"/>
      <c r="AQ14" s="3"/>
      <c r="AR14" s="3"/>
      <c r="AS14" s="3"/>
      <c r="AT14" s="3"/>
      <c r="AU14" s="3"/>
      <c r="AV14" s="5"/>
      <c r="AW14" s="3"/>
      <c r="AX14" s="3"/>
      <c r="AY14" s="3"/>
      <c r="AZ14" s="3"/>
      <c r="BA14" s="7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</row>
    <row r="15" spans="2:64" ht="16.5" customHeight="1" x14ac:dyDescent="0.15">
      <c r="B15" s="263" t="str">
        <f>IF(LANGUAGE="English","Purpose of trip","Rejsens formål:")</f>
        <v>Purpose of trip</v>
      </c>
      <c r="C15" s="250"/>
      <c r="D15" s="250"/>
      <c r="E15" s="250"/>
      <c r="F15" s="251"/>
      <c r="G15" s="413"/>
      <c r="H15" s="414"/>
      <c r="I15" s="414"/>
      <c r="J15" s="414"/>
      <c r="K15" s="414"/>
      <c r="L15" s="414"/>
      <c r="M15" s="414"/>
      <c r="N15" s="414"/>
      <c r="O15" s="414"/>
      <c r="P15" s="414"/>
      <c r="Q15" s="414"/>
      <c r="R15" s="414"/>
      <c r="S15" s="415"/>
      <c r="T15" s="296"/>
      <c r="U15" s="297"/>
      <c r="V15" s="298"/>
      <c r="W15" s="311" t="str">
        <f>IF(LANGUAGE="English","Return","Hjemkomst")</f>
        <v>Return</v>
      </c>
      <c r="X15" s="174"/>
      <c r="Y15" s="174"/>
      <c r="Z15" s="312"/>
      <c r="AA15" s="363" t="str">
        <f>IF(LANGUAGE="English","Date (dd-mm-yyyy):","Dato (dd-mm-åååå):")</f>
        <v>Date (dd-mm-yyyy):</v>
      </c>
      <c r="AB15" s="195"/>
      <c r="AC15" s="195"/>
      <c r="AD15" s="195"/>
      <c r="AE15" s="195"/>
      <c r="AF15" s="195"/>
      <c r="AG15" s="195"/>
      <c r="AH15" s="195"/>
      <c r="AI15" s="195"/>
      <c r="AJ15" s="364"/>
      <c r="AK15" s="263" t="str">
        <f>IF(LANGUAGE="English","Time (hh:mm):","Kl. (tt:mm):")</f>
        <v>Time (hh:mm):</v>
      </c>
      <c r="AL15" s="250"/>
      <c r="AM15" s="250"/>
      <c r="AN15" s="251"/>
      <c r="AO15" s="3"/>
      <c r="AP15" s="3"/>
      <c r="AQ15" s="3"/>
      <c r="AR15" s="3"/>
      <c r="AS15" s="3"/>
      <c r="AT15" s="3"/>
      <c r="AU15" s="3"/>
      <c r="AV15" s="5"/>
      <c r="AW15" s="3"/>
      <c r="AX15" s="3"/>
      <c r="AY15" s="3"/>
      <c r="AZ15" s="3"/>
      <c r="BA15" s="7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</row>
    <row r="16" spans="2:64" ht="14.25" customHeight="1" x14ac:dyDescent="0.15">
      <c r="B16" s="271"/>
      <c r="C16" s="272"/>
      <c r="D16" s="272"/>
      <c r="E16" s="272"/>
      <c r="F16" s="377"/>
      <c r="G16" s="416"/>
      <c r="H16" s="417"/>
      <c r="I16" s="417"/>
      <c r="J16" s="417"/>
      <c r="K16" s="417"/>
      <c r="L16" s="417"/>
      <c r="M16" s="417"/>
      <c r="N16" s="417"/>
      <c r="O16" s="417"/>
      <c r="P16" s="417"/>
      <c r="Q16" s="417"/>
      <c r="R16" s="417"/>
      <c r="S16" s="418"/>
      <c r="T16" s="296"/>
      <c r="U16" s="297"/>
      <c r="V16" s="298"/>
      <c r="W16" s="313"/>
      <c r="X16" s="314"/>
      <c r="Y16" s="314"/>
      <c r="Z16" s="315"/>
      <c r="AA16" s="365"/>
      <c r="AB16" s="366"/>
      <c r="AC16" s="31" t="s">
        <v>3</v>
      </c>
      <c r="AD16" s="32"/>
      <c r="AE16" s="31" t="s">
        <v>3</v>
      </c>
      <c r="AF16" s="230">
        <v>2017</v>
      </c>
      <c r="AG16" s="230"/>
      <c r="AH16" s="230"/>
      <c r="AI16" s="230"/>
      <c r="AJ16" s="231"/>
      <c r="AK16" s="403"/>
      <c r="AL16" s="404"/>
      <c r="AM16" s="33" t="s">
        <v>4</v>
      </c>
      <c r="AN16" s="34"/>
      <c r="AO16" s="3"/>
      <c r="AP16" s="3"/>
      <c r="AQ16" s="3"/>
      <c r="AR16" s="3"/>
      <c r="AS16" s="3"/>
      <c r="AT16" s="3"/>
      <c r="AU16" s="3"/>
      <c r="AV16" s="5"/>
      <c r="AW16" s="3"/>
      <c r="AX16" s="3"/>
      <c r="AY16" s="3"/>
      <c r="AZ16" s="3"/>
      <c r="BA16" s="7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</row>
    <row r="17" spans="2:64" ht="15" customHeight="1" x14ac:dyDescent="0.15">
      <c r="B17" s="264"/>
      <c r="C17" s="267"/>
      <c r="D17" s="267"/>
      <c r="E17" s="267"/>
      <c r="F17" s="279"/>
      <c r="G17" s="419"/>
      <c r="H17" s="420"/>
      <c r="I17" s="420"/>
      <c r="J17" s="420"/>
      <c r="K17" s="420"/>
      <c r="L17" s="420"/>
      <c r="M17" s="420"/>
      <c r="N17" s="420"/>
      <c r="O17" s="420"/>
      <c r="P17" s="420"/>
      <c r="Q17" s="420"/>
      <c r="R17" s="420"/>
      <c r="S17" s="421"/>
      <c r="T17" s="296"/>
      <c r="U17" s="297"/>
      <c r="V17" s="298"/>
      <c r="W17" s="305" t="str">
        <f>IF(LANGUAGE="English","Duration","Varighed")</f>
        <v>Duration</v>
      </c>
      <c r="X17" s="306"/>
      <c r="Y17" s="306"/>
      <c r="Z17" s="307"/>
      <c r="AA17" s="21" t="str">
        <f>IF(LANGUAGE="English","Days:","Døgn:")</f>
        <v>Days:</v>
      </c>
      <c r="AB17" s="22"/>
      <c r="AC17" s="400" t="str">
        <f>IF(AA14*AD14*AF14*AA16*AD16*AF16=0,"",IF(DATE(AF16,AD16,AA16)-DATE(AF14,AD14,AA14)&lt;0,Beregninger!M20,DATE(AF16,AD16,AA16)-DATE(AF14,AD14,AA14)-IF(TIME(AK16,AN16,0)&lt;TIME(AK14,AN14,0),1,0)))</f>
        <v/>
      </c>
      <c r="AD17" s="401"/>
      <c r="AE17" s="401"/>
      <c r="AF17" s="401"/>
      <c r="AG17" s="401"/>
      <c r="AH17" s="401"/>
      <c r="AI17" s="401"/>
      <c r="AJ17" s="402"/>
      <c r="AK17" s="36" t="str">
        <f>IF(LANGUAGE="English","Hours:","Timer:")</f>
        <v>Hours:</v>
      </c>
      <c r="AL17" s="37"/>
      <c r="AM17" s="169" t="str">
        <f>IF(OR(AC17="",AK16="",AN16="",AK14="",AN14=""),"",MIN(HOUR((TIME(23,59,59)-TIME(AK14,AN14,0))+TIME(AK16,AN16,59))+IF(MINUTE((TIME(23,59,59)-TIME(AK14,AN14,0))+TIME(AK16,AN16,59))&gt;=30,1,0),23))</f>
        <v/>
      </c>
      <c r="AN17" s="387"/>
      <c r="AO17" s="3"/>
      <c r="AP17" s="3"/>
      <c r="AQ17" s="3"/>
      <c r="AR17" s="3"/>
      <c r="AS17" s="3"/>
      <c r="AT17" s="3"/>
      <c r="AU17" s="3"/>
      <c r="AV17" s="5"/>
      <c r="AW17" s="3"/>
      <c r="AX17" s="3"/>
      <c r="AY17" s="3"/>
      <c r="AZ17" s="3"/>
      <c r="BA17" s="7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</row>
    <row r="18" spans="2:64" ht="9.75" customHeight="1" x14ac:dyDescent="0.15">
      <c r="B18" s="27"/>
      <c r="C18" s="27"/>
      <c r="D18" s="27"/>
      <c r="E18" s="27"/>
      <c r="F18" s="27"/>
      <c r="G18" s="27"/>
      <c r="H18" s="405" t="str">
        <f>IF(AND(MAD&lt;&gt;"",MAD&lt;&gt;0,S42&lt;&gt;"",S42&lt;&gt;0),IF(LANGUAGE="English",Beregninger!F42,Beregninger!E42),"")</f>
        <v/>
      </c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06"/>
      <c r="X18" s="406"/>
      <c r="Y18" s="406"/>
      <c r="Z18" s="406"/>
      <c r="AA18" s="407"/>
      <c r="AB18" s="407"/>
      <c r="AC18" s="407"/>
      <c r="AD18" s="40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3"/>
      <c r="AP18" s="3"/>
      <c r="AQ18" s="3"/>
      <c r="AR18" s="3"/>
      <c r="AS18" s="3"/>
      <c r="AT18" s="3"/>
      <c r="AU18" s="3"/>
      <c r="AV18" s="5"/>
      <c r="AW18" s="3"/>
      <c r="AX18" s="3"/>
      <c r="AY18" s="3"/>
      <c r="AZ18" s="3"/>
      <c r="BA18" s="7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</row>
    <row r="19" spans="2:64" ht="8.25" customHeight="1" x14ac:dyDescent="0.15">
      <c r="B19" s="140"/>
      <c r="C19" s="140"/>
      <c r="D19" s="140"/>
      <c r="E19" s="141"/>
      <c r="F19" s="141"/>
      <c r="G19" s="141"/>
      <c r="H19" s="141" t="s">
        <v>235</v>
      </c>
      <c r="I19" s="141"/>
      <c r="J19" s="141"/>
      <c r="K19" s="141">
        <f>Valuta</f>
        <v>0</v>
      </c>
      <c r="L19" s="142"/>
      <c r="M19" s="141"/>
      <c r="N19" s="141"/>
      <c r="O19" s="141"/>
      <c r="P19" s="141"/>
      <c r="Q19" s="141"/>
      <c r="R19" s="141"/>
      <c r="S19" s="143" t="s">
        <v>236</v>
      </c>
      <c r="T19" s="299">
        <v>100</v>
      </c>
      <c r="U19" s="299"/>
      <c r="V19" s="299"/>
      <c r="W19" s="299">
        <f>Valuta</f>
        <v>0</v>
      </c>
      <c r="X19" s="299"/>
      <c r="Y19" s="141" t="s">
        <v>237</v>
      </c>
      <c r="Z19" s="141">
        <f>IF(Valuta2=Valuta,kurs1,kurs2)</f>
        <v>0</v>
      </c>
      <c r="AA19" s="299" t="s">
        <v>10</v>
      </c>
      <c r="AB19" s="299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3"/>
      <c r="AP19" s="3"/>
      <c r="AQ19" s="3"/>
      <c r="AR19" s="3"/>
      <c r="AS19" s="3"/>
      <c r="AT19" s="3"/>
      <c r="AU19" s="3"/>
      <c r="AV19" s="5"/>
      <c r="AW19" s="3"/>
      <c r="AX19" s="3"/>
      <c r="AY19" s="3"/>
      <c r="AZ19" s="3"/>
      <c r="BA19" s="7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</row>
    <row r="20" spans="2:64" ht="14.25" customHeight="1" x14ac:dyDescent="0.15">
      <c r="B20" s="290" t="str">
        <f>IF(LANGUAGE="English","Expenses","Udgifter")</f>
        <v>Expenses</v>
      </c>
      <c r="C20" s="291"/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2"/>
      <c r="S20" s="316" t="str">
        <f>IF(LANGUAGE="English","Currency 1","Valuta 1")</f>
        <v>Currency 1</v>
      </c>
      <c r="T20" s="317"/>
      <c r="U20" s="317"/>
      <c r="V20" s="317"/>
      <c r="W20" s="318"/>
      <c r="X20" s="316" t="str">
        <f>IF(LANGUAGE="English","Currency 2","Valuta 2")</f>
        <v>Currency 2</v>
      </c>
      <c r="Y20" s="317"/>
      <c r="Z20" s="317"/>
      <c r="AA20" s="317"/>
      <c r="AB20" s="318"/>
      <c r="AC20" s="316" t="str">
        <f>IF(LANGUAGE="English","Currency 3","Valuta 3")</f>
        <v>Currency 3</v>
      </c>
      <c r="AD20" s="317"/>
      <c r="AE20" s="317"/>
      <c r="AF20" s="317"/>
      <c r="AG20" s="317"/>
      <c r="AH20" s="317"/>
      <c r="AI20" s="317"/>
      <c r="AJ20" s="388" t="str">
        <f>IF(LANGUAGE="English","Currency","Valuta")</f>
        <v>Currency</v>
      </c>
      <c r="AK20" s="389"/>
      <c r="AL20" s="389"/>
      <c r="AM20" s="389"/>
      <c r="AN20" s="84" t="str">
        <f>IF(AND(OR(Valuta=Valuta2,Valuta=Valuta3),Valuta&lt;&gt;""),$AC$11,"DKK")</f>
        <v>DKK</v>
      </c>
      <c r="AO20" s="3"/>
      <c r="AP20" s="3"/>
      <c r="AQ20" s="3"/>
      <c r="AR20" s="3"/>
      <c r="AS20" s="3"/>
      <c r="AT20" s="3"/>
      <c r="AU20" s="3"/>
      <c r="AV20" s="5"/>
      <c r="AW20" s="3"/>
      <c r="AX20" s="3"/>
      <c r="AY20" s="3"/>
      <c r="AZ20" s="3"/>
      <c r="BA20" s="7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</row>
    <row r="21" spans="2:64" ht="12.7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5"/>
      <c r="S21" s="35" t="str">
        <f>IF(LANGUAGE="English","Name:","Navn:")</f>
        <v>Name:</v>
      </c>
      <c r="T21" s="28"/>
      <c r="U21" s="154" t="s">
        <v>10</v>
      </c>
      <c r="V21" s="155"/>
      <c r="W21" s="41"/>
      <c r="X21" s="35" t="str">
        <f>IF(LANGUAGE="English","Name:","Navn:")</f>
        <v>Name:</v>
      </c>
      <c r="Y21" s="28"/>
      <c r="Z21" s="154"/>
      <c r="AA21" s="155"/>
      <c r="AB21" s="41"/>
      <c r="AC21" s="271" t="s">
        <v>171</v>
      </c>
      <c r="AD21" s="272"/>
      <c r="AE21" s="154"/>
      <c r="AF21" s="181"/>
      <c r="AG21" s="181"/>
      <c r="AH21" s="155"/>
      <c r="AI21" s="42"/>
      <c r="AJ21" s="81"/>
      <c r="AK21" s="82"/>
      <c r="AL21" s="82"/>
      <c r="AM21" s="82"/>
      <c r="AN21" s="83"/>
      <c r="AO21" s="3"/>
      <c r="AP21" s="3"/>
      <c r="AQ21" s="456"/>
      <c r="AR21" s="457"/>
      <c r="AS21" s="457"/>
      <c r="AT21" s="457"/>
      <c r="AU21" s="457"/>
      <c r="AV21" s="5"/>
      <c r="AW21" s="3"/>
      <c r="AX21" s="3"/>
      <c r="AY21" s="3"/>
      <c r="AZ21" s="3"/>
      <c r="BA21" s="7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</row>
    <row r="22" spans="2:64" ht="3" customHeight="1" x14ac:dyDescent="0.15">
      <c r="B22" s="38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40"/>
      <c r="S22" s="225"/>
      <c r="T22" s="196"/>
      <c r="U22" s="196"/>
      <c r="V22" s="196"/>
      <c r="W22" s="240"/>
      <c r="X22" s="225"/>
      <c r="Y22" s="196"/>
      <c r="Z22" s="196"/>
      <c r="AA22" s="196"/>
      <c r="AB22" s="240"/>
      <c r="AC22" s="225"/>
      <c r="AD22" s="196"/>
      <c r="AE22" s="196"/>
      <c r="AF22" s="196"/>
      <c r="AG22" s="196"/>
      <c r="AH22" s="196"/>
      <c r="AI22" s="226"/>
      <c r="AJ22" s="212" t="s">
        <v>8</v>
      </c>
      <c r="AK22" s="213"/>
      <c r="AL22" s="213"/>
      <c r="AM22" s="213"/>
      <c r="AN22" s="214"/>
      <c r="AO22" s="3"/>
      <c r="AP22" s="3"/>
      <c r="AQ22" s="3"/>
      <c r="AR22" s="3"/>
      <c r="AS22" s="3"/>
      <c r="AT22" s="3"/>
      <c r="AU22" s="3"/>
      <c r="AV22" s="5"/>
      <c r="AW22" s="3"/>
      <c r="AX22" s="3"/>
      <c r="AY22" s="3"/>
      <c r="AZ22" s="3"/>
      <c r="BA22" s="7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</row>
    <row r="23" spans="2:64" ht="14.25" customHeight="1" x14ac:dyDescent="0.15">
      <c r="B23" s="338" t="str">
        <f>IF(LANGUAGE="English","(Expenses must be documented by receipts, voucher, tickets)","(Udgifter skal dokumenteres med kvittering/billetter)")</f>
        <v>(Expenses must be documented by receipts, voucher, tickets)</v>
      </c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40"/>
      <c r="S23" s="35" t="str">
        <f>IF(LANGUAGE="English","Rate:","Kurs:")</f>
        <v>Rate:</v>
      </c>
      <c r="T23" s="28"/>
      <c r="U23" s="236">
        <v>100</v>
      </c>
      <c r="V23" s="238"/>
      <c r="W23" s="43"/>
      <c r="X23" s="35" t="str">
        <f>IF(LANGUAGE="English","Rate:","Kurs:")</f>
        <v>Rate:</v>
      </c>
      <c r="Y23" s="28"/>
      <c r="Z23" s="236"/>
      <c r="AA23" s="238"/>
      <c r="AB23" s="43"/>
      <c r="AC23" s="35" t="str">
        <f>IF(LANGUAGE="English","Rate:","Kurs:")</f>
        <v>Rate:</v>
      </c>
      <c r="AD23" s="28"/>
      <c r="AE23" s="236"/>
      <c r="AF23" s="237"/>
      <c r="AG23" s="237"/>
      <c r="AH23" s="238"/>
      <c r="AI23" s="24"/>
      <c r="AJ23" s="212"/>
      <c r="AK23" s="213"/>
      <c r="AL23" s="213"/>
      <c r="AM23" s="213"/>
      <c r="AN23" s="214"/>
      <c r="AO23" s="3"/>
      <c r="AP23" s="3"/>
      <c r="AQ23" s="3"/>
      <c r="AR23" s="3"/>
      <c r="AS23" s="3"/>
      <c r="AT23" s="3"/>
      <c r="AU23" s="3"/>
      <c r="AV23" s="5"/>
      <c r="AW23" s="3"/>
      <c r="AX23" s="3"/>
      <c r="AY23" s="3"/>
      <c r="AZ23" s="3"/>
      <c r="BA23" s="7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</row>
    <row r="24" spans="2:64" ht="6.75" customHeight="1" x14ac:dyDescent="0.15">
      <c r="B24" s="341"/>
      <c r="C24" s="342"/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2"/>
      <c r="O24" s="342"/>
      <c r="P24" s="342"/>
      <c r="Q24" s="342"/>
      <c r="R24" s="343"/>
      <c r="S24" s="234"/>
      <c r="T24" s="193"/>
      <c r="U24" s="193"/>
      <c r="V24" s="193"/>
      <c r="W24" s="239"/>
      <c r="X24" s="234"/>
      <c r="Y24" s="193"/>
      <c r="Z24" s="193"/>
      <c r="AA24" s="193"/>
      <c r="AB24" s="239"/>
      <c r="AC24" s="234"/>
      <c r="AD24" s="193"/>
      <c r="AE24" s="193"/>
      <c r="AF24" s="193"/>
      <c r="AG24" s="193"/>
      <c r="AH24" s="193"/>
      <c r="AI24" s="235"/>
      <c r="AJ24" s="215"/>
      <c r="AK24" s="216"/>
      <c r="AL24" s="216"/>
      <c r="AM24" s="216"/>
      <c r="AN24" s="217"/>
      <c r="AO24" s="3"/>
      <c r="AP24" s="3"/>
      <c r="AQ24" s="3"/>
      <c r="AR24" s="3"/>
      <c r="AS24" s="3"/>
      <c r="AT24" s="3"/>
      <c r="AU24" s="3"/>
      <c r="AV24" s="5"/>
      <c r="BB24" s="9"/>
      <c r="BC24" s="3"/>
      <c r="BD24" s="3"/>
      <c r="BE24" s="3"/>
      <c r="BF24" s="3"/>
      <c r="BG24" s="3"/>
      <c r="BH24" s="3"/>
      <c r="BI24" s="3"/>
      <c r="BJ24" s="3"/>
      <c r="BK24" s="3"/>
      <c r="BL24" s="3"/>
    </row>
    <row r="25" spans="2:64" ht="18" customHeight="1" x14ac:dyDescent="0.15">
      <c r="B25" s="263" t="str">
        <f>IF(LANGUAGE="English","A. Ticket:","A. Billet:")</f>
        <v>A. Ticket:</v>
      </c>
      <c r="C25" s="250"/>
      <c r="D25" s="344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5"/>
      <c r="S25" s="221"/>
      <c r="T25" s="222"/>
      <c r="U25" s="222"/>
      <c r="V25" s="222"/>
      <c r="W25" s="223"/>
      <c r="X25" s="221"/>
      <c r="Y25" s="222"/>
      <c r="Z25" s="222"/>
      <c r="AA25" s="222"/>
      <c r="AB25" s="223"/>
      <c r="AC25" s="221"/>
      <c r="AD25" s="222"/>
      <c r="AE25" s="222"/>
      <c r="AF25" s="222"/>
      <c r="AG25" s="222"/>
      <c r="AH25" s="222"/>
      <c r="AI25" s="224"/>
      <c r="AJ25" s="227" t="str">
        <f>IF(SUM(S25/100*$U$23,Z$23/100*X25,AE$23/100*AC25)=0,"",IF($AN$20&lt;&gt;"DKK",Valuta!M5,SUM(S25/100*$U$23,kurs1/100*X25,kurs2/100*AC25)))</f>
        <v/>
      </c>
      <c r="AK25" s="228"/>
      <c r="AL25" s="228"/>
      <c r="AM25" s="228"/>
      <c r="AN25" s="229"/>
      <c r="AO25" s="3"/>
      <c r="AP25" s="3"/>
      <c r="AQ25" s="3"/>
      <c r="AR25" s="3"/>
      <c r="AS25" s="3"/>
      <c r="AT25" s="3"/>
      <c r="AU25" s="3"/>
      <c r="AV25" s="5"/>
      <c r="BB25" s="9"/>
      <c r="BC25" s="3"/>
      <c r="BD25" s="3"/>
      <c r="BE25" s="3"/>
      <c r="BF25" s="3"/>
      <c r="BG25" s="3"/>
      <c r="BH25" s="3"/>
      <c r="BI25" s="3"/>
      <c r="BJ25" s="3"/>
      <c r="BK25" s="3"/>
      <c r="BL25" s="3"/>
    </row>
    <row r="26" spans="2:64" ht="18" customHeight="1" x14ac:dyDescent="0.15">
      <c r="B26" s="332" t="str">
        <f>IF(LANGUAGE="English","B. Ticket:","B. Billet:")</f>
        <v>B. Ticket:</v>
      </c>
      <c r="C26" s="333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3"/>
      <c r="S26" s="241"/>
      <c r="T26" s="219"/>
      <c r="U26" s="219"/>
      <c r="V26" s="219"/>
      <c r="W26" s="220"/>
      <c r="X26" s="241"/>
      <c r="Y26" s="219"/>
      <c r="Z26" s="219"/>
      <c r="AA26" s="219"/>
      <c r="AB26" s="220"/>
      <c r="AC26" s="241"/>
      <c r="AD26" s="219"/>
      <c r="AE26" s="219"/>
      <c r="AF26" s="219"/>
      <c r="AG26" s="219"/>
      <c r="AH26" s="219"/>
      <c r="AI26" s="346"/>
      <c r="AJ26" s="227" t="str">
        <f>IF(SUM(S26/100*$U$23,Z$23/100*X26,AE$23/100*AC26)=0,"",IF($AN$20&lt;&gt;"DKK",Valuta!M6,SUM(S26/100*$U$23,kurs1/100*X26,kurs2/100*AC26)))</f>
        <v/>
      </c>
      <c r="AK26" s="228"/>
      <c r="AL26" s="228"/>
      <c r="AM26" s="228"/>
      <c r="AN26" s="229"/>
      <c r="AO26" s="3"/>
      <c r="AP26" s="3"/>
      <c r="AQ26" s="10"/>
      <c r="AR26" s="3"/>
      <c r="AS26" s="3"/>
      <c r="AT26" s="3"/>
      <c r="AU26" s="3"/>
      <c r="AV26" s="5"/>
      <c r="BB26" s="9"/>
      <c r="BC26" s="3"/>
      <c r="BD26" s="3"/>
      <c r="BE26" s="3"/>
      <c r="BF26" s="3"/>
      <c r="BG26" s="3"/>
      <c r="BH26" s="3"/>
      <c r="BI26" s="3"/>
      <c r="BJ26" s="3"/>
      <c r="BK26" s="3"/>
      <c r="BL26" s="3"/>
    </row>
    <row r="27" spans="2:64" ht="18" customHeight="1" x14ac:dyDescent="0.15">
      <c r="B27" s="245" t="s">
        <v>152</v>
      </c>
      <c r="C27" s="246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3"/>
      <c r="S27" s="241"/>
      <c r="T27" s="219"/>
      <c r="U27" s="219"/>
      <c r="V27" s="219"/>
      <c r="W27" s="220"/>
      <c r="X27" s="218"/>
      <c r="Y27" s="219"/>
      <c r="Z27" s="219"/>
      <c r="AA27" s="219"/>
      <c r="AB27" s="220"/>
      <c r="AC27" s="241"/>
      <c r="AD27" s="219"/>
      <c r="AE27" s="219"/>
      <c r="AF27" s="219"/>
      <c r="AG27" s="219"/>
      <c r="AH27" s="219"/>
      <c r="AI27" s="346"/>
      <c r="AJ27" s="227" t="str">
        <f>IF(SUM(S27/100*$U$23,Z$23/100*X27,AE$23/100*AC27)=0,"",IF($AN$20&lt;&gt;"DKK",Valuta!M7,SUM(S27/100*$U$23,kurs1/100*X27,kurs2/100*AC27)))</f>
        <v/>
      </c>
      <c r="AK27" s="228"/>
      <c r="AL27" s="228"/>
      <c r="AM27" s="228"/>
      <c r="AN27" s="229"/>
      <c r="AO27" s="3"/>
      <c r="AP27" s="3"/>
      <c r="AQ27" s="10"/>
      <c r="AR27" s="3"/>
      <c r="AS27" s="3"/>
      <c r="AT27" s="3"/>
      <c r="AU27" s="3"/>
      <c r="AV27" s="5"/>
      <c r="BB27" s="9"/>
      <c r="BC27" s="3"/>
      <c r="BD27" s="3"/>
      <c r="BE27" s="3"/>
      <c r="BF27" s="3"/>
      <c r="BG27" s="3"/>
      <c r="BH27" s="3"/>
      <c r="BI27" s="3"/>
      <c r="BJ27" s="3"/>
      <c r="BK27" s="3"/>
      <c r="BL27" s="3"/>
    </row>
    <row r="28" spans="2:64" ht="18" customHeight="1" x14ac:dyDescent="0.15">
      <c r="B28" s="350" t="str">
        <f>IF(LANGUAGE="English","D. Other travel expenses:","D. Andre rejseudlæg:")</f>
        <v>D. Other travel expenses:</v>
      </c>
      <c r="C28" s="351"/>
      <c r="D28" s="351"/>
      <c r="E28" s="351"/>
      <c r="F28" s="351"/>
      <c r="G28" s="351"/>
      <c r="H28" s="351"/>
      <c r="I28" s="242"/>
      <c r="J28" s="243"/>
      <c r="K28" s="243"/>
      <c r="L28" s="243"/>
      <c r="M28" s="243"/>
      <c r="N28" s="243"/>
      <c r="O28" s="243"/>
      <c r="P28" s="243"/>
      <c r="Q28" s="243"/>
      <c r="R28" s="244"/>
      <c r="S28" s="247"/>
      <c r="T28" s="248"/>
      <c r="U28" s="248"/>
      <c r="V28" s="248"/>
      <c r="W28" s="349"/>
      <c r="X28" s="247"/>
      <c r="Y28" s="248"/>
      <c r="Z28" s="248"/>
      <c r="AA28" s="248"/>
      <c r="AB28" s="349"/>
      <c r="AC28" s="247"/>
      <c r="AD28" s="248"/>
      <c r="AE28" s="248"/>
      <c r="AF28" s="248"/>
      <c r="AG28" s="248"/>
      <c r="AH28" s="248"/>
      <c r="AI28" s="249"/>
      <c r="AJ28" s="227" t="str">
        <f>IF(SUM(S28/100*$U$23,Z$23/100*X28,AE$23/100*AC28)=0,"",IF($AN$20&lt;&gt;"DKK",Valuta!M8,SUM(S28/100*$U$23,kurs1/100*X28,kurs2/100*AC28)))</f>
        <v/>
      </c>
      <c r="AK28" s="228"/>
      <c r="AL28" s="228"/>
      <c r="AM28" s="228"/>
      <c r="AN28" s="229"/>
      <c r="AO28" s="3"/>
      <c r="AP28" s="3"/>
      <c r="AQ28" s="10"/>
      <c r="AR28" s="3"/>
      <c r="AS28" s="3"/>
      <c r="AT28" s="3"/>
      <c r="AU28" s="3"/>
      <c r="AV28" s="5"/>
      <c r="BB28" s="9"/>
      <c r="BC28" s="3"/>
      <c r="BD28" s="3"/>
      <c r="BE28" s="3"/>
      <c r="BF28" s="3"/>
      <c r="BG28" s="3"/>
      <c r="BH28" s="3"/>
      <c r="BI28" s="3"/>
      <c r="BJ28" s="3"/>
      <c r="BK28" s="3"/>
      <c r="BL28" s="3"/>
    </row>
    <row r="29" spans="2:64" ht="18" customHeight="1" x14ac:dyDescent="0.15">
      <c r="B29" s="271" t="str">
        <f>IF(LANGUAGE="English","E. Consumption","E. Fortæringsudgifter:")</f>
        <v>E. Consumption</v>
      </c>
      <c r="C29" s="272"/>
      <c r="D29" s="272"/>
      <c r="E29" s="272"/>
      <c r="F29" s="272"/>
      <c r="G29" s="272"/>
      <c r="H29" s="257"/>
      <c r="I29" s="258"/>
      <c r="J29" s="258"/>
      <c r="K29" s="258"/>
      <c r="L29" s="258"/>
      <c r="M29" s="258"/>
      <c r="N29" s="258"/>
      <c r="O29" s="258"/>
      <c r="P29" s="258"/>
      <c r="Q29" s="258"/>
      <c r="R29" s="259"/>
      <c r="S29" s="260"/>
      <c r="T29" s="261"/>
      <c r="U29" s="261"/>
      <c r="V29" s="261"/>
      <c r="W29" s="262"/>
      <c r="X29" s="260"/>
      <c r="Y29" s="261"/>
      <c r="Z29" s="261"/>
      <c r="AA29" s="261"/>
      <c r="AB29" s="262"/>
      <c r="AC29" s="347"/>
      <c r="AD29" s="261"/>
      <c r="AE29" s="261"/>
      <c r="AF29" s="261"/>
      <c r="AG29" s="261"/>
      <c r="AH29" s="261"/>
      <c r="AI29" s="348"/>
      <c r="AJ29" s="227" t="str">
        <f>IF(SUM(S29/100*$U$23,Z$23/100*X29,AE$23/100*AC29)=0,"",IF($AN$20&lt;&gt;"DKK",Valuta!M9,SUM(S29/100*$U$23,kurs1/100*X29,kurs2/100*AC29)))</f>
        <v/>
      </c>
      <c r="AK29" s="228"/>
      <c r="AL29" s="228"/>
      <c r="AM29" s="228"/>
      <c r="AN29" s="229"/>
      <c r="AO29" s="3"/>
      <c r="AP29" s="3"/>
      <c r="AQ29" s="10"/>
      <c r="AR29" s="3"/>
      <c r="AS29" s="3"/>
      <c r="AT29" s="3"/>
      <c r="AU29" s="3"/>
      <c r="AV29" s="5"/>
      <c r="BB29" s="9"/>
      <c r="BC29" s="3"/>
      <c r="BD29" s="3"/>
      <c r="BE29" s="3"/>
      <c r="BF29" s="3"/>
      <c r="BG29" s="3"/>
      <c r="BH29" s="3"/>
      <c r="BI29" s="3"/>
      <c r="BJ29" s="3"/>
      <c r="BK29" s="3"/>
      <c r="BL29" s="3"/>
    </row>
    <row r="30" spans="2:64" ht="21" customHeight="1" x14ac:dyDescent="0.15">
      <c r="B30" s="263" t="str">
        <f>IF(LANGUAGE="English","F. Hotel in DK","F. Hotel indland")</f>
        <v>F. Hotel in DK</v>
      </c>
      <c r="C30" s="157"/>
      <c r="D30" s="157"/>
      <c r="E30" s="157"/>
      <c r="F30" s="157"/>
      <c r="G30" s="45" t="b">
        <v>0</v>
      </c>
      <c r="H30" s="46" t="str">
        <f>IF(LANGUAGE="Dansk","med el.","incl. or")</f>
        <v>incl. or</v>
      </c>
      <c r="I30" s="46"/>
      <c r="J30" s="47" t="b">
        <v>0</v>
      </c>
      <c r="K30" s="46" t="str">
        <f>IF(LANGUAGE="Dansk","uden","excl.")</f>
        <v>excl.</v>
      </c>
      <c r="L30" s="46"/>
      <c r="M30" s="250" t="str">
        <f>IF(LANGUAGE="Dansk","morgenmad","breakfast")</f>
        <v>breakfast</v>
      </c>
      <c r="N30" s="250"/>
      <c r="O30" s="250"/>
      <c r="P30" s="250"/>
      <c r="Q30" s="250"/>
      <c r="R30" s="251"/>
      <c r="S30" s="268"/>
      <c r="T30" s="269"/>
      <c r="U30" s="269"/>
      <c r="V30" s="269"/>
      <c r="W30" s="270"/>
      <c r="X30" s="268"/>
      <c r="Y30" s="269"/>
      <c r="Z30" s="269"/>
      <c r="AA30" s="269"/>
      <c r="AB30" s="270"/>
      <c r="AC30" s="268"/>
      <c r="AD30" s="269"/>
      <c r="AE30" s="269"/>
      <c r="AF30" s="269"/>
      <c r="AG30" s="269"/>
      <c r="AH30" s="269"/>
      <c r="AI30" s="275"/>
      <c r="AJ30" s="227" t="str">
        <f>IF(SUM(S30/100*$U$23,Z$23/100*X30,AE$23/100*AC30)=0,"",IF($AN$20&lt;&gt;"DKK",Valuta!M10,SUM(S30/100*$U$23,kurs1/100*X30,kurs2/100*AC30)))</f>
        <v/>
      </c>
      <c r="AK30" s="228"/>
      <c r="AL30" s="228"/>
      <c r="AM30" s="228"/>
      <c r="AN30" s="229"/>
      <c r="AO30" s="3"/>
      <c r="AP30" s="3"/>
      <c r="AQ30" s="10"/>
      <c r="AR30" s="3"/>
      <c r="AS30" s="3"/>
      <c r="AT30" s="3"/>
      <c r="AU30" s="3"/>
      <c r="AV30" s="5"/>
      <c r="BB30" s="9"/>
      <c r="BC30" s="3"/>
      <c r="BD30" s="3"/>
      <c r="BE30" s="3"/>
      <c r="BF30" s="3"/>
      <c r="BG30" s="3"/>
      <c r="BH30" s="3"/>
      <c r="BI30" s="3"/>
      <c r="BJ30" s="3"/>
      <c r="BK30" s="3"/>
      <c r="BL30" s="3"/>
    </row>
    <row r="31" spans="2:64" ht="21" customHeight="1" x14ac:dyDescent="0.15">
      <c r="B31" s="264" t="str">
        <f>IF(LANGUAGE="English","G. Hotel outside DK","G. Hotel udland")</f>
        <v>G. Hotel outside DK</v>
      </c>
      <c r="C31" s="265"/>
      <c r="D31" s="265"/>
      <c r="E31" s="265"/>
      <c r="F31" s="265"/>
      <c r="G31" s="49" t="b">
        <v>0</v>
      </c>
      <c r="H31" s="266" t="s">
        <v>165</v>
      </c>
      <c r="I31" s="267"/>
      <c r="J31" s="51" t="b">
        <v>0</v>
      </c>
      <c r="K31" s="50" t="str">
        <f>IF(LANGUAGE="Dansk","uden","excl.")</f>
        <v>excl.</v>
      </c>
      <c r="L31" s="48"/>
      <c r="M31" s="267" t="str">
        <f>IF(LANGUAGE="Dansk","morgenmad","breakfast")</f>
        <v>breakfast</v>
      </c>
      <c r="N31" s="267"/>
      <c r="O31" s="267"/>
      <c r="P31" s="267"/>
      <c r="Q31" s="267"/>
      <c r="R31" s="279"/>
      <c r="S31" s="254"/>
      <c r="T31" s="277"/>
      <c r="U31" s="277"/>
      <c r="V31" s="277"/>
      <c r="W31" s="278"/>
      <c r="X31" s="254"/>
      <c r="Y31" s="277"/>
      <c r="Z31" s="277"/>
      <c r="AA31" s="277"/>
      <c r="AB31" s="278"/>
      <c r="AC31" s="254"/>
      <c r="AD31" s="277"/>
      <c r="AE31" s="277"/>
      <c r="AF31" s="277"/>
      <c r="AG31" s="277"/>
      <c r="AH31" s="277"/>
      <c r="AI31" s="451"/>
      <c r="AJ31" s="227" t="str">
        <f>IF(SUM(S31/100*$U$23,Z$23/100*X31,AE$23/100*AC31)=0,"",IF($AN$20&lt;&gt;"DKK",Valuta!M11,SUM(S31/100*$U$23,kurs1/100*X31,kurs2/100*AC31)))</f>
        <v/>
      </c>
      <c r="AK31" s="228"/>
      <c r="AL31" s="228"/>
      <c r="AM31" s="228"/>
      <c r="AN31" s="229"/>
      <c r="AO31" s="3"/>
      <c r="AP31" s="3"/>
      <c r="AQ31" s="10"/>
      <c r="AR31" s="3"/>
      <c r="AS31" s="3"/>
      <c r="AT31" s="3"/>
      <c r="AU31" s="3"/>
      <c r="AV31" s="5"/>
      <c r="BB31" s="9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2:64" ht="18" customHeight="1" x14ac:dyDescent="0.15">
      <c r="B32" s="273" t="str">
        <f>IF(LANGUAGE="English","H. Other non-travel expenses*:","H. Andre ikke-rejseudlæg*):")</f>
        <v>H. Other non-travel expenses*:</v>
      </c>
      <c r="C32" s="274"/>
      <c r="D32" s="274"/>
      <c r="E32" s="274"/>
      <c r="F32" s="274"/>
      <c r="G32" s="274"/>
      <c r="H32" s="274"/>
      <c r="I32" s="274"/>
      <c r="J32" s="252"/>
      <c r="K32" s="252"/>
      <c r="L32" s="252"/>
      <c r="M32" s="252"/>
      <c r="N32" s="252"/>
      <c r="O32" s="252"/>
      <c r="P32" s="252"/>
      <c r="Q32" s="252"/>
      <c r="R32" s="253"/>
      <c r="S32" s="254"/>
      <c r="T32" s="255"/>
      <c r="U32" s="255"/>
      <c r="V32" s="255"/>
      <c r="W32" s="256"/>
      <c r="X32" s="254"/>
      <c r="Y32" s="255"/>
      <c r="Z32" s="255"/>
      <c r="AA32" s="255"/>
      <c r="AB32" s="256"/>
      <c r="AC32" s="254"/>
      <c r="AD32" s="255"/>
      <c r="AE32" s="255"/>
      <c r="AF32" s="255"/>
      <c r="AG32" s="255"/>
      <c r="AH32" s="255"/>
      <c r="AI32" s="276"/>
      <c r="AJ32" s="227" t="str">
        <f>IF(SUM(S32/100*$U$23,Z$23/100*X32,AE$23/100*AC32)=0,"",IF($AN$20&lt;&gt;"DKK",Valuta!M12,SUM(S32/100*$U$23,kurs1/100*X32,kurs2/100*AC32)))</f>
        <v/>
      </c>
      <c r="AK32" s="228"/>
      <c r="AL32" s="228"/>
      <c r="AM32" s="228"/>
      <c r="AN32" s="229"/>
      <c r="AO32" s="3"/>
      <c r="AP32" s="3"/>
      <c r="AQ32" s="10"/>
      <c r="AR32" s="3"/>
      <c r="AS32" s="3"/>
      <c r="AT32" s="3"/>
      <c r="AU32" s="3"/>
      <c r="AV32" s="5"/>
      <c r="AW32" s="9"/>
      <c r="AX32" s="9"/>
      <c r="AY32" s="9"/>
      <c r="AZ32" s="9"/>
      <c r="BA32" s="8"/>
      <c r="BB32" s="9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2:64" ht="18.75" customHeight="1" x14ac:dyDescent="0.15">
      <c r="B33" s="334" t="str">
        <f>IF(LANGUAGE="English","* eg. Conference fee"," * Fx. Konferencegebyr")</f>
        <v>* eg. Conference fee</v>
      </c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N33" s="335"/>
      <c r="O33" s="335"/>
      <c r="P33" s="335"/>
      <c r="Q33" s="335"/>
      <c r="R33" s="336"/>
      <c r="S33" s="411" t="str">
        <f>IF(LANGUAGE="Dansk","Udgifter i alt","Total expenses")</f>
        <v>Total expenses</v>
      </c>
      <c r="T33" s="412"/>
      <c r="U33" s="412"/>
      <c r="V33" s="412"/>
      <c r="W33" s="412"/>
      <c r="X33" s="412"/>
      <c r="Y33" s="412"/>
      <c r="Z33" s="412"/>
      <c r="AA33" s="412"/>
      <c r="AB33" s="412"/>
      <c r="AC33" s="412"/>
      <c r="AD33" s="412"/>
      <c r="AE33" s="412"/>
      <c r="AF33" s="412"/>
      <c r="AG33" s="412"/>
      <c r="AH33" s="412"/>
      <c r="AI33" s="412"/>
      <c r="AJ33" s="199" t="str">
        <f>IF(Valuta!I5=0,"",IF(AND(AJ25="",AJ26="",AJ27="",AJ28="",AJ29="",AJ30="",AJ32="",G=""),"",SUM(Beregninger!O7:O14)))</f>
        <v/>
      </c>
      <c r="AK33" s="200"/>
      <c r="AL33" s="200"/>
      <c r="AM33" s="200"/>
      <c r="AN33" s="201"/>
      <c r="AO33" s="3"/>
      <c r="AP33" s="3"/>
      <c r="AQ33" s="3"/>
      <c r="AR33" s="3"/>
      <c r="AS33" s="3"/>
      <c r="AT33" s="3"/>
      <c r="AU33" s="3"/>
      <c r="AV33" s="5"/>
      <c r="AW33" s="9"/>
      <c r="AX33" s="9"/>
      <c r="AY33" s="9"/>
      <c r="AZ33" s="9"/>
      <c r="BA33" s="8"/>
      <c r="BB33" s="9"/>
      <c r="BC33" s="3"/>
      <c r="BD33" s="3"/>
      <c r="BE33" s="3"/>
      <c r="BF33" s="3"/>
      <c r="BG33" s="3"/>
      <c r="BH33" s="3"/>
      <c r="BI33" s="3"/>
      <c r="BJ33" s="3"/>
      <c r="BK33" s="3"/>
      <c r="BL33" s="3"/>
    </row>
    <row r="34" spans="2:64" ht="11.25" customHeight="1" x14ac:dyDescent="0.15">
      <c r="B34" s="337" t="str">
        <f>Beregninger!J1</f>
        <v/>
      </c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37"/>
      <c r="Y34" s="337"/>
      <c r="Z34" s="337"/>
      <c r="AA34" s="337"/>
      <c r="AB34" s="337"/>
      <c r="AC34" s="337"/>
      <c r="AD34" s="337"/>
      <c r="AE34" s="337"/>
      <c r="AF34" s="337"/>
      <c r="AG34" s="337"/>
      <c r="AH34" s="337"/>
      <c r="AI34" s="337"/>
      <c r="AJ34" s="337"/>
      <c r="AK34" s="337"/>
      <c r="AL34" s="337"/>
      <c r="AM34" s="337"/>
      <c r="AN34" s="337"/>
      <c r="AO34" s="3"/>
      <c r="AP34" s="3"/>
      <c r="AQ34" s="3"/>
      <c r="AR34" s="3"/>
      <c r="AS34" s="3"/>
      <c r="AT34" s="3"/>
      <c r="AU34" s="3"/>
      <c r="AV34" s="5"/>
      <c r="AW34" s="3"/>
      <c r="AX34" s="3"/>
      <c r="AY34" s="3"/>
      <c r="AZ34" s="3"/>
      <c r="BA34" s="7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</row>
    <row r="35" spans="2:64" ht="18" customHeight="1" x14ac:dyDescent="0.15">
      <c r="B35" s="305" t="str">
        <f>IF(LANGUAGE="English","Reimbursement","Godtgørelse")</f>
        <v>Reimbursement</v>
      </c>
      <c r="C35" s="328"/>
      <c r="D35" s="328"/>
      <c r="E35" s="328"/>
      <c r="F35" s="194"/>
      <c r="G35" s="202"/>
      <c r="H35" s="202"/>
      <c r="I35" s="202"/>
      <c r="J35" s="425"/>
      <c r="K35" s="426"/>
      <c r="L35" s="52"/>
      <c r="M35" s="187" t="s">
        <v>166</v>
      </c>
      <c r="N35" s="187"/>
      <c r="O35" s="187"/>
      <c r="P35" s="187"/>
      <c r="Q35" s="187"/>
      <c r="R35" s="187"/>
      <c r="S35" s="439" t="str">
        <f>IF(LANGUAGE="English","Amount","Antal")</f>
        <v>Amount</v>
      </c>
      <c r="T35" s="439"/>
      <c r="U35" s="439"/>
      <c r="V35" s="439"/>
      <c r="W35" s="439"/>
      <c r="X35" s="53"/>
      <c r="Y35" s="439" t="str">
        <f>IF(LANGUAGE="English","Rate","Sats")</f>
        <v>Rate</v>
      </c>
      <c r="Z35" s="439"/>
      <c r="AA35" s="439"/>
      <c r="AB35" s="53"/>
      <c r="AC35" s="194"/>
      <c r="AD35" s="194"/>
      <c r="AE35" s="194"/>
      <c r="AF35" s="194"/>
      <c r="AG35" s="194"/>
      <c r="AH35" s="194"/>
      <c r="AI35" s="194"/>
      <c r="AJ35" s="398" t="str">
        <f>IF(LANGUAGE="English","Currency","Valuta")</f>
        <v>Currency</v>
      </c>
      <c r="AK35" s="399"/>
      <c r="AL35" s="399"/>
      <c r="AM35" s="399"/>
      <c r="AN35" s="129" t="str">
        <f>AN20</f>
        <v>DKK</v>
      </c>
      <c r="AO35" s="3"/>
      <c r="AP35" s="3"/>
      <c r="AQ35" s="10"/>
      <c r="AR35" s="3"/>
      <c r="AS35" s="3"/>
      <c r="AT35" s="3"/>
      <c r="AU35" s="3"/>
      <c r="AV35" s="5"/>
      <c r="AW35" s="3"/>
      <c r="AX35" s="3"/>
      <c r="AY35" s="3"/>
      <c r="AZ35" s="3"/>
      <c r="BA35" s="7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</row>
    <row r="36" spans="2:64" ht="3" customHeight="1" x14ac:dyDescent="0.15">
      <c r="B36" s="263" t="str">
        <f>IF(LANGUAGE="English","Private car. Reason for use","Egen bil. Motiv for brug:")</f>
        <v>Private car. Reason for use</v>
      </c>
      <c r="C36" s="250"/>
      <c r="D36" s="250"/>
      <c r="E36" s="250"/>
      <c r="F36" s="250"/>
      <c r="G36" s="272"/>
      <c r="H36" s="250"/>
      <c r="I36" s="178"/>
      <c r="J36" s="178"/>
      <c r="K36" s="178"/>
      <c r="L36" s="178"/>
      <c r="M36" s="178"/>
      <c r="N36" s="178"/>
      <c r="O36" s="178"/>
      <c r="P36" s="178"/>
      <c r="Q36" s="178"/>
      <c r="R36" s="195"/>
      <c r="S36" s="193"/>
      <c r="T36" s="193"/>
      <c r="U36" s="193"/>
      <c r="V36" s="193"/>
      <c r="W36" s="193"/>
      <c r="X36" s="23"/>
      <c r="Y36" s="54"/>
      <c r="Z36" s="54"/>
      <c r="AA36" s="54"/>
      <c r="AB36" s="54"/>
      <c r="AC36" s="55"/>
      <c r="AD36" s="396"/>
      <c r="AE36" s="396"/>
      <c r="AF36" s="396"/>
      <c r="AG36" s="396"/>
      <c r="AH36" s="396"/>
      <c r="AI36" s="397"/>
      <c r="AJ36" s="390" t="str">
        <f>Valuta!M13</f>
        <v/>
      </c>
      <c r="AK36" s="391"/>
      <c r="AL36" s="391"/>
      <c r="AM36" s="391"/>
      <c r="AN36" s="392"/>
      <c r="AO36" s="3"/>
      <c r="AP36" s="3"/>
      <c r="AQ36" s="3"/>
      <c r="AR36" s="3"/>
      <c r="AS36" s="3"/>
      <c r="AT36" s="3"/>
      <c r="AU36" s="3"/>
      <c r="AV36" s="5"/>
      <c r="AW36" s="3"/>
      <c r="AX36" s="3"/>
      <c r="AY36" s="3"/>
      <c r="AZ36" s="3"/>
      <c r="BA36" s="7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</row>
    <row r="37" spans="2:64" ht="13.5" customHeight="1" x14ac:dyDescent="0.15">
      <c r="B37" s="271"/>
      <c r="C37" s="272"/>
      <c r="D37" s="272"/>
      <c r="E37" s="272"/>
      <c r="F37" s="272"/>
      <c r="G37" s="272"/>
      <c r="H37" s="272"/>
      <c r="I37" s="190"/>
      <c r="J37" s="191"/>
      <c r="K37" s="191"/>
      <c r="L37" s="191"/>
      <c r="M37" s="191"/>
      <c r="N37" s="191"/>
      <c r="O37" s="191"/>
      <c r="P37" s="191"/>
      <c r="Q37" s="192"/>
      <c r="R37" s="196"/>
      <c r="S37" s="329"/>
      <c r="T37" s="330"/>
      <c r="U37" s="330"/>
      <c r="V37" s="330"/>
      <c r="W37" s="331"/>
      <c r="X37" s="56" t="str">
        <f>IF(LANGUAGE="English","at","á")</f>
        <v>at</v>
      </c>
      <c r="Y37" s="206">
        <v>2.1</v>
      </c>
      <c r="Z37" s="207"/>
      <c r="AA37" s="208"/>
      <c r="AB37" s="57" t="str">
        <f>IF(LANGUAGE="English","DKK","kr.")</f>
        <v>DKK</v>
      </c>
      <c r="AC37" s="58"/>
      <c r="AD37" s="396"/>
      <c r="AE37" s="396"/>
      <c r="AF37" s="396"/>
      <c r="AG37" s="396"/>
      <c r="AH37" s="396"/>
      <c r="AI37" s="397"/>
      <c r="AJ37" s="390"/>
      <c r="AK37" s="391"/>
      <c r="AL37" s="391"/>
      <c r="AM37" s="391"/>
      <c r="AN37" s="392"/>
      <c r="AO37" s="3"/>
      <c r="AP37" s="3"/>
      <c r="AQ37" s="3"/>
      <c r="AR37" s="3"/>
      <c r="AS37" s="3"/>
      <c r="AT37" s="3"/>
      <c r="AU37" s="3"/>
      <c r="AV37" s="5"/>
      <c r="AW37" s="3"/>
      <c r="AX37" s="3"/>
      <c r="AY37" s="3"/>
      <c r="AZ37" s="3"/>
      <c r="BA37" s="7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2:64" ht="3" customHeight="1" x14ac:dyDescent="0.15">
      <c r="B38" s="325"/>
      <c r="C38" s="326"/>
      <c r="D38" s="326"/>
      <c r="E38" s="326"/>
      <c r="F38" s="326"/>
      <c r="G38" s="326"/>
      <c r="H38" s="326"/>
      <c r="I38" s="327"/>
      <c r="J38" s="327"/>
      <c r="K38" s="327"/>
      <c r="L38" s="327"/>
      <c r="M38" s="327"/>
      <c r="N38" s="327"/>
      <c r="O38" s="327"/>
      <c r="P38" s="327"/>
      <c r="Q38" s="327"/>
      <c r="R38" s="197"/>
      <c r="S38" s="408"/>
      <c r="T38" s="408"/>
      <c r="U38" s="408"/>
      <c r="V38" s="408"/>
      <c r="W38" s="408"/>
      <c r="X38" s="59"/>
      <c r="Y38" s="59"/>
      <c r="Z38" s="59"/>
      <c r="AA38" s="59"/>
      <c r="AB38" s="23"/>
      <c r="AC38" s="23"/>
      <c r="AD38" s="396"/>
      <c r="AE38" s="396"/>
      <c r="AF38" s="396"/>
      <c r="AG38" s="396"/>
      <c r="AH38" s="396"/>
      <c r="AI38" s="397"/>
      <c r="AJ38" s="390"/>
      <c r="AK38" s="391"/>
      <c r="AL38" s="391"/>
      <c r="AM38" s="391"/>
      <c r="AN38" s="392"/>
      <c r="AO38" s="3"/>
      <c r="AP38" s="3"/>
      <c r="AQ38" s="3"/>
      <c r="AR38" s="3"/>
      <c r="AS38" s="3"/>
      <c r="AT38" s="3"/>
      <c r="AU38" s="3"/>
      <c r="AV38" s="5"/>
      <c r="AW38" s="3"/>
      <c r="AX38" s="3"/>
      <c r="AY38" s="3"/>
      <c r="AZ38" s="3"/>
      <c r="BA38" s="7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</row>
    <row r="39" spans="2:64" ht="3" customHeight="1" x14ac:dyDescent="0.15">
      <c r="B39" s="431" t="str">
        <f>IF(LANGUAGE="English","Per diem (Only for travels of 24 hours or more)","Time- og dagpenge (kun rejser med overnatning)")</f>
        <v>Per diem (Only for travels of 24 hours or more)</v>
      </c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2"/>
      <c r="U39" s="432"/>
      <c r="V39" s="432"/>
      <c r="W39" s="432"/>
      <c r="X39" s="428" t="s">
        <v>8</v>
      </c>
      <c r="Y39" s="428"/>
      <c r="Z39" s="428"/>
      <c r="AA39" s="428"/>
      <c r="AB39" s="428"/>
      <c r="AC39" s="440" t="s">
        <v>0</v>
      </c>
      <c r="AD39" s="440"/>
      <c r="AE39" s="440"/>
      <c r="AF39" s="440"/>
      <c r="AG39" s="440"/>
      <c r="AH39" s="60"/>
      <c r="AI39" s="209"/>
      <c r="AJ39" s="393" t="str">
        <f>IF(AND(AD42="",AD44=""),"",Valuta!M14)</f>
        <v/>
      </c>
      <c r="AK39" s="394"/>
      <c r="AL39" s="394"/>
      <c r="AM39" s="394"/>
      <c r="AN39" s="395"/>
      <c r="AO39" s="3"/>
      <c r="AP39" s="3"/>
      <c r="AQ39" s="3"/>
      <c r="AR39" s="3"/>
      <c r="AS39" s="3"/>
      <c r="AT39" s="3"/>
      <c r="AU39" s="3"/>
      <c r="AV39" s="5"/>
      <c r="AW39" s="3"/>
      <c r="AX39" s="3"/>
      <c r="AY39" s="3"/>
      <c r="AZ39" s="3"/>
      <c r="BA39" s="7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2:64" x14ac:dyDescent="0.15">
      <c r="B40" s="271"/>
      <c r="C40" s="272"/>
      <c r="D40" s="272"/>
      <c r="E40" s="272"/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452"/>
      <c r="Y40" s="452"/>
      <c r="Z40" s="452"/>
      <c r="AA40" s="452"/>
      <c r="AB40" s="452"/>
      <c r="AC40" s="441"/>
      <c r="AD40" s="441"/>
      <c r="AE40" s="441"/>
      <c r="AF40" s="441"/>
      <c r="AG40" s="441"/>
      <c r="AH40" s="61"/>
      <c r="AI40" s="210"/>
      <c r="AJ40" s="390"/>
      <c r="AK40" s="391"/>
      <c r="AL40" s="391"/>
      <c r="AM40" s="391"/>
      <c r="AN40" s="392"/>
      <c r="AO40" s="3"/>
      <c r="AP40" s="3"/>
      <c r="AQ40" s="3"/>
      <c r="AR40" s="3"/>
      <c r="AS40" s="3"/>
      <c r="AT40" s="3"/>
      <c r="AU40" s="3"/>
      <c r="AV40" s="5"/>
      <c r="AW40" s="3"/>
      <c r="AX40" s="3"/>
      <c r="AY40" s="3"/>
      <c r="AZ40" s="3"/>
      <c r="BA40" s="7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2:64" ht="3" customHeight="1" x14ac:dyDescent="0.15">
      <c r="B41" s="271"/>
      <c r="C41" s="272"/>
      <c r="D41" s="272"/>
      <c r="E41" s="272"/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72"/>
      <c r="S41" s="272"/>
      <c r="T41" s="272"/>
      <c r="U41" s="272"/>
      <c r="V41" s="272"/>
      <c r="W41" s="272"/>
      <c r="X41" s="452"/>
      <c r="Y41" s="452"/>
      <c r="Z41" s="452"/>
      <c r="AA41" s="452"/>
      <c r="AB41" s="452"/>
      <c r="AC41" s="441"/>
      <c r="AD41" s="441"/>
      <c r="AE41" s="441"/>
      <c r="AF41" s="441"/>
      <c r="AG41" s="441"/>
      <c r="AH41" s="61"/>
      <c r="AI41" s="210"/>
      <c r="AJ41" s="390"/>
      <c r="AK41" s="391"/>
      <c r="AL41" s="391"/>
      <c r="AM41" s="391"/>
      <c r="AN41" s="392"/>
      <c r="AO41" s="3"/>
      <c r="AP41" s="3"/>
      <c r="AQ41" s="3"/>
      <c r="AR41" s="3"/>
      <c r="AS41" s="3"/>
      <c r="AT41" s="3"/>
      <c r="AU41" s="3"/>
      <c r="AV41" s="5"/>
      <c r="AW41" s="3"/>
      <c r="AX41" s="3"/>
      <c r="AY41" s="3"/>
      <c r="AZ41" s="3"/>
      <c r="BA41" s="7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2:64" ht="12.75" customHeight="1" x14ac:dyDescent="0.15">
      <c r="B42" s="188" t="str">
        <f>IF(LANGUAGE="English","Per diem - Daily","Fulde dagpenge")</f>
        <v>Per diem - Daily</v>
      </c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453"/>
      <c r="S42" s="329" t="str">
        <f>IF(OR(AC17="",AM17=""),"",MAX(AC17,0))</f>
        <v/>
      </c>
      <c r="T42" s="437"/>
      <c r="U42" s="437"/>
      <c r="V42" s="437"/>
      <c r="W42" s="438"/>
      <c r="X42" s="56" t="str">
        <f>IF(LANGUAGE="English","at","á")</f>
        <v>at</v>
      </c>
      <c r="Y42" s="206">
        <v>200</v>
      </c>
      <c r="Z42" s="207"/>
      <c r="AA42" s="208"/>
      <c r="AB42" s="57" t="str">
        <f>IF(LANGUAGE="English","DKK","kr.")</f>
        <v>DKK</v>
      </c>
      <c r="AC42" s="24"/>
      <c r="AD42" s="427" t="str">
        <f>IF(OR(Y42="",S42="",S42=0),"",S42*Y42)</f>
        <v/>
      </c>
      <c r="AE42" s="183"/>
      <c r="AF42" s="183"/>
      <c r="AG42" s="184"/>
      <c r="AH42" s="44"/>
      <c r="AI42" s="210"/>
      <c r="AJ42" s="203"/>
      <c r="AK42" s="204"/>
      <c r="AL42" s="204"/>
      <c r="AM42" s="204"/>
      <c r="AN42" s="205"/>
      <c r="AO42" s="3"/>
      <c r="AP42" s="3" t="s">
        <v>260</v>
      </c>
      <c r="AQ42" s="3"/>
      <c r="AR42" s="3"/>
      <c r="AS42" s="3"/>
      <c r="AT42" s="3"/>
      <c r="AU42" s="3"/>
      <c r="AV42" s="5"/>
      <c r="AW42" s="3"/>
      <c r="AX42" s="3"/>
      <c r="AY42" s="3"/>
      <c r="AZ42" s="3"/>
      <c r="BA42" s="7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2:64" ht="3" customHeight="1" x14ac:dyDescent="0.15">
      <c r="B43" s="188" t="str">
        <f>IF(LANGUAGE="English","Per diem - Hourly","Timepenge")</f>
        <v>Per diem - Hourly</v>
      </c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27"/>
      <c r="AI43" s="210"/>
      <c r="AJ43" s="203"/>
      <c r="AK43" s="204"/>
      <c r="AL43" s="204"/>
      <c r="AM43" s="204"/>
      <c r="AN43" s="205"/>
      <c r="AO43" s="3"/>
      <c r="AP43" s="3"/>
      <c r="AQ43" s="3"/>
      <c r="AR43" s="3"/>
      <c r="AS43" s="3"/>
      <c r="AT43" s="3"/>
      <c r="AU43" s="3"/>
      <c r="AV43" s="5"/>
      <c r="AW43" s="3"/>
      <c r="AX43" s="3"/>
      <c r="AY43" s="3"/>
      <c r="AZ43" s="3"/>
      <c r="BA43" s="7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2:64" ht="12.75" customHeight="1" x14ac:dyDescent="0.15">
      <c r="B44" s="188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329" t="str">
        <f>IF(OR(AC17="",AM17=""),"",IF(MAX(AC17,0)=0,0,MAX(AM17,0)))</f>
        <v/>
      </c>
      <c r="T44" s="422"/>
      <c r="U44" s="422"/>
      <c r="V44" s="422"/>
      <c r="W44" s="423"/>
      <c r="X44" s="56" t="str">
        <f>IF(LANGUAGE="English","at","á")</f>
        <v>at</v>
      </c>
      <c r="Y44" s="206">
        <f>IF(Y42="","",ROUND(Y42/24,2))</f>
        <v>8.33</v>
      </c>
      <c r="Z44" s="207"/>
      <c r="AA44" s="207"/>
      <c r="AB44" s="57" t="str">
        <f>IF(LANGUAGE="English","DKK","kr.")</f>
        <v>DKK</v>
      </c>
      <c r="AC44" s="24"/>
      <c r="AD44" s="427" t="str">
        <f>IF(OR(Y44="",S44="",S44=0),"",S44*Y44)</f>
        <v/>
      </c>
      <c r="AE44" s="183"/>
      <c r="AF44" s="183"/>
      <c r="AG44" s="184"/>
      <c r="AH44" s="44"/>
      <c r="AI44" s="210"/>
      <c r="AJ44" s="203"/>
      <c r="AK44" s="204"/>
      <c r="AL44" s="204"/>
      <c r="AM44" s="204"/>
      <c r="AN44" s="205"/>
      <c r="AO44" s="3"/>
      <c r="AP44" s="3"/>
      <c r="AQ44" s="3"/>
      <c r="AR44" s="3"/>
      <c r="AS44" s="3"/>
      <c r="AT44" s="3"/>
      <c r="AU44" s="3"/>
      <c r="AV44" s="5"/>
      <c r="AW44" s="3"/>
      <c r="AX44" s="3"/>
      <c r="AY44" s="3"/>
      <c r="AZ44" s="3"/>
      <c r="BA44" s="7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2:64" ht="3" customHeight="1" x14ac:dyDescent="0.15">
      <c r="B45" s="188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27"/>
      <c r="AI45" s="211"/>
      <c r="AJ45" s="203"/>
      <c r="AK45" s="204"/>
      <c r="AL45" s="204"/>
      <c r="AM45" s="204"/>
      <c r="AN45" s="205"/>
      <c r="AO45" s="3"/>
      <c r="AP45" s="3"/>
      <c r="AQ45" s="3"/>
      <c r="AR45" s="3"/>
      <c r="AS45" s="3"/>
      <c r="AT45" s="3"/>
      <c r="AU45" s="3"/>
      <c r="AV45" s="5"/>
      <c r="AW45" s="3"/>
      <c r="AX45" s="3"/>
      <c r="AY45" s="3"/>
      <c r="AZ45" s="3"/>
      <c r="BA45" s="7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2:64" ht="15" customHeight="1" x14ac:dyDescent="0.15">
      <c r="B46" s="431" t="str">
        <f>IF(LANGUAGE="English","Deduction for meals received","Måltidsfradrag")</f>
        <v>Deduction for meals received</v>
      </c>
      <c r="C46" s="432"/>
      <c r="D46" s="432"/>
      <c r="E46" s="432"/>
      <c r="F46" s="432"/>
      <c r="G46" s="432"/>
      <c r="H46" s="432"/>
      <c r="I46" s="432"/>
      <c r="J46" s="432"/>
      <c r="K46" s="432"/>
      <c r="L46" s="432"/>
      <c r="M46" s="432"/>
      <c r="N46" s="432"/>
      <c r="O46" s="432"/>
      <c r="P46" s="432"/>
      <c r="Q46" s="432"/>
      <c r="R46" s="432"/>
      <c r="S46" s="432"/>
      <c r="T46" s="432"/>
      <c r="U46" s="432"/>
      <c r="V46" s="432"/>
      <c r="W46" s="432"/>
      <c r="X46" s="428" t="s">
        <v>8</v>
      </c>
      <c r="Y46" s="428"/>
      <c r="Z46" s="428"/>
      <c r="AA46" s="428"/>
      <c r="AB46" s="428"/>
      <c r="AC46" s="440" t="s">
        <v>0</v>
      </c>
      <c r="AD46" s="440"/>
      <c r="AE46" s="440"/>
      <c r="AF46" s="440"/>
      <c r="AG46" s="440"/>
      <c r="AH46" s="60"/>
      <c r="AI46" s="60"/>
      <c r="AJ46" s="62" t="s">
        <v>3</v>
      </c>
      <c r="AK46" s="458" t="str">
        <f>IF(AND(AD48="",AD50="",AD52=""),"",Valuta!M15)</f>
        <v/>
      </c>
      <c r="AL46" s="458"/>
      <c r="AM46" s="458"/>
      <c r="AN46" s="459"/>
      <c r="AO46" s="3"/>
      <c r="AP46" s="3"/>
      <c r="AQ46" s="3"/>
      <c r="AR46" s="3"/>
      <c r="AS46" s="3"/>
      <c r="AT46" s="3"/>
      <c r="AU46" s="3"/>
      <c r="AV46" s="5"/>
      <c r="AW46" s="3"/>
      <c r="AX46" s="3"/>
      <c r="AY46" s="3"/>
      <c r="AZ46" s="3"/>
      <c r="BA46" s="7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2:64" ht="3" customHeight="1" x14ac:dyDescent="0.15">
      <c r="B47" s="188" t="str">
        <f>IF(LANGUAGE="English","Breakfast","Morgenmad")</f>
        <v>Breakfast</v>
      </c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93"/>
      <c r="T47" s="193"/>
      <c r="U47" s="193"/>
      <c r="V47" s="193"/>
      <c r="W47" s="193"/>
      <c r="X47" s="23"/>
      <c r="Y47" s="63"/>
      <c r="Z47" s="63"/>
      <c r="AA47" s="63"/>
      <c r="AB47" s="63"/>
      <c r="AC47" s="23"/>
      <c r="AD47" s="198"/>
      <c r="AE47" s="198"/>
      <c r="AF47" s="198"/>
      <c r="AG47" s="198"/>
      <c r="AH47" s="61"/>
      <c r="AI47" s="441"/>
      <c r="AJ47" s="465"/>
      <c r="AK47" s="466"/>
      <c r="AL47" s="466"/>
      <c r="AM47" s="466"/>
      <c r="AN47" s="467"/>
      <c r="AO47" s="3"/>
      <c r="AP47" s="3"/>
      <c r="AQ47" s="3"/>
      <c r="AR47" s="3"/>
      <c r="AS47" s="3"/>
      <c r="AT47" s="3"/>
      <c r="AU47" s="3"/>
      <c r="AV47" s="5"/>
      <c r="AW47" s="3"/>
      <c r="AX47" s="3"/>
      <c r="AY47" s="3"/>
      <c r="AZ47" s="3"/>
      <c r="BA47" s="7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</row>
    <row r="48" spans="2:64" ht="12" customHeight="1" x14ac:dyDescent="0.15">
      <c r="B48" s="188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329"/>
      <c r="T48" s="422"/>
      <c r="U48" s="422"/>
      <c r="V48" s="422"/>
      <c r="W48" s="423"/>
      <c r="X48" s="56" t="str">
        <f>IF(LANGUAGE="English","at","á")</f>
        <v>at</v>
      </c>
      <c r="Y48" s="206">
        <f>IF(Y42="","",ROUND(IF(AF14=2008,Satser!G19,Satser!H19)*Y42,2))</f>
        <v>30</v>
      </c>
      <c r="Z48" s="207"/>
      <c r="AA48" s="207"/>
      <c r="AB48" s="57" t="str">
        <f>IF(LANGUAGE="English","DKK","kr.")</f>
        <v>DKK</v>
      </c>
      <c r="AC48" s="64"/>
      <c r="AD48" s="427" t="str">
        <f>IF(OR(Y48="",S48=""),"",S48*Y48)</f>
        <v/>
      </c>
      <c r="AE48" s="183"/>
      <c r="AF48" s="183"/>
      <c r="AG48" s="184"/>
      <c r="AH48" s="44"/>
      <c r="AI48" s="441"/>
      <c r="AJ48" s="465"/>
      <c r="AK48" s="466"/>
      <c r="AL48" s="466"/>
      <c r="AM48" s="466"/>
      <c r="AN48" s="467"/>
      <c r="AO48" s="3"/>
      <c r="AP48" s="3"/>
      <c r="AQ48" s="3"/>
      <c r="AR48" s="3"/>
      <c r="AS48" s="3"/>
      <c r="AT48" s="3"/>
      <c r="AU48" s="3"/>
      <c r="AV48" s="5"/>
      <c r="AW48" s="3"/>
      <c r="AX48" s="3"/>
      <c r="AY48" s="3"/>
      <c r="AZ48" s="3"/>
      <c r="BA48" s="7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</row>
    <row r="49" spans="2:64" ht="3" customHeight="1" x14ac:dyDescent="0.15">
      <c r="B49" s="188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2"/>
      <c r="T49" s="182"/>
      <c r="U49" s="182"/>
      <c r="V49" s="182"/>
      <c r="W49" s="182"/>
      <c r="X49" s="63"/>
      <c r="Y49" s="65"/>
      <c r="Z49" s="65"/>
      <c r="AA49" s="65"/>
      <c r="AB49" s="63"/>
      <c r="AC49" s="64"/>
      <c r="AD49" s="27"/>
      <c r="AE49" s="27"/>
      <c r="AF49" s="27"/>
      <c r="AG49" s="27"/>
      <c r="AH49" s="27"/>
      <c r="AI49" s="441"/>
      <c r="AJ49" s="465"/>
      <c r="AK49" s="466"/>
      <c r="AL49" s="466"/>
      <c r="AM49" s="466"/>
      <c r="AN49" s="467"/>
      <c r="AO49" s="3"/>
      <c r="AP49" s="3"/>
      <c r="AQ49" s="3"/>
      <c r="AR49" s="3"/>
      <c r="AS49" s="3"/>
      <c r="AT49" s="3"/>
      <c r="AU49" s="3"/>
      <c r="AV49" s="5"/>
      <c r="AW49" s="3"/>
      <c r="AX49" s="3"/>
      <c r="AY49" s="3"/>
      <c r="AZ49" s="3"/>
      <c r="BA49" s="7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</row>
    <row r="50" spans="2:64" ht="12" customHeight="1" x14ac:dyDescent="0.15">
      <c r="B50" s="188" t="str">
        <f>IF(LANGUAGE="English","Lunch","Frokost")</f>
        <v>Lunch</v>
      </c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453"/>
      <c r="S50" s="329"/>
      <c r="T50" s="422"/>
      <c r="U50" s="422"/>
      <c r="V50" s="422"/>
      <c r="W50" s="423"/>
      <c r="X50" s="56" t="str">
        <f>IF(LANGUAGE="English","at","á")</f>
        <v>at</v>
      </c>
      <c r="Y50" s="206">
        <f>IF(Y42="","",ROUND(IF(AF14=2008,Satser!G20,Satser!H20)*Y42,2))</f>
        <v>60</v>
      </c>
      <c r="Z50" s="207"/>
      <c r="AA50" s="207"/>
      <c r="AB50" s="57" t="str">
        <f>IF(LANGUAGE="English","DKK","kr.")</f>
        <v>DKK</v>
      </c>
      <c r="AC50" s="24"/>
      <c r="AD50" s="427" t="str">
        <f>IF(OR(Y50="",S50=""),"",S50*Y50)</f>
        <v/>
      </c>
      <c r="AE50" s="183"/>
      <c r="AF50" s="183"/>
      <c r="AG50" s="184"/>
      <c r="AH50" s="44"/>
      <c r="AI50" s="441"/>
      <c r="AJ50" s="465"/>
      <c r="AK50" s="466"/>
      <c r="AL50" s="466"/>
      <c r="AM50" s="466"/>
      <c r="AN50" s="467"/>
      <c r="AO50" s="3"/>
      <c r="AP50" s="3"/>
      <c r="AQ50" s="3"/>
      <c r="AR50" s="3"/>
      <c r="AS50" s="3"/>
      <c r="AT50" s="3"/>
      <c r="AU50" s="3"/>
      <c r="AV50" s="5"/>
      <c r="AW50" s="3"/>
      <c r="AX50" s="3"/>
      <c r="AY50" s="3"/>
      <c r="AZ50" s="3"/>
      <c r="BA50" s="7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</row>
    <row r="51" spans="2:64" ht="3" customHeight="1" x14ac:dyDescent="0.15">
      <c r="B51" s="188" t="str">
        <f>IF(LANGUAGE="English","Dinner","Middag")</f>
        <v>Dinner</v>
      </c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2"/>
      <c r="T51" s="182"/>
      <c r="U51" s="182"/>
      <c r="V51" s="182"/>
      <c r="W51" s="182"/>
      <c r="X51" s="23"/>
      <c r="Y51" s="65"/>
      <c r="Z51" s="65"/>
      <c r="AA51" s="65"/>
      <c r="AB51" s="63"/>
      <c r="AC51" s="23"/>
      <c r="AD51" s="182"/>
      <c r="AE51" s="182"/>
      <c r="AF51" s="182"/>
      <c r="AG51" s="182"/>
      <c r="AH51" s="27"/>
      <c r="AI51" s="441"/>
      <c r="AJ51" s="465"/>
      <c r="AK51" s="466"/>
      <c r="AL51" s="466"/>
      <c r="AM51" s="466"/>
      <c r="AN51" s="467"/>
      <c r="AO51" s="3"/>
      <c r="AP51" s="3"/>
      <c r="AQ51" s="3"/>
      <c r="AR51" s="3"/>
      <c r="AS51" s="3"/>
      <c r="AT51" s="3"/>
      <c r="AU51" s="3"/>
      <c r="AV51" s="5"/>
      <c r="AW51" s="3"/>
      <c r="AX51" s="3"/>
      <c r="AY51" s="3"/>
      <c r="AZ51" s="3"/>
      <c r="BA51" s="7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2:64" ht="12" customHeight="1" x14ac:dyDescent="0.15">
      <c r="B52" s="188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329"/>
      <c r="T52" s="422"/>
      <c r="U52" s="422"/>
      <c r="V52" s="422"/>
      <c r="W52" s="423"/>
      <c r="X52" s="56" t="str">
        <f>IF(LANGUAGE="English","at","á")</f>
        <v>at</v>
      </c>
      <c r="Y52" s="206">
        <f>IF(Y42="","",ROUND(IF(AF14=2008,Satser!G21,Satser!H21)*Y42,2))</f>
        <v>60</v>
      </c>
      <c r="Z52" s="207"/>
      <c r="AA52" s="207"/>
      <c r="AB52" s="57" t="str">
        <f>IF(LANGUAGE="English","DKK","kr.")</f>
        <v>DKK</v>
      </c>
      <c r="AC52" s="64"/>
      <c r="AD52" s="427" t="str">
        <f>IF(OR(Y52="",S52=""),"",S52*Y52)</f>
        <v/>
      </c>
      <c r="AE52" s="183"/>
      <c r="AF52" s="183"/>
      <c r="AG52" s="184"/>
      <c r="AH52" s="44"/>
      <c r="AI52" s="441"/>
      <c r="AJ52" s="465"/>
      <c r="AK52" s="466"/>
      <c r="AL52" s="466"/>
      <c r="AM52" s="466"/>
      <c r="AN52" s="467"/>
      <c r="AO52" s="3"/>
      <c r="AP52" s="3"/>
      <c r="AQ52" s="3"/>
      <c r="AR52" s="3"/>
      <c r="AS52" s="3"/>
      <c r="AT52" s="3"/>
      <c r="AU52" s="3"/>
      <c r="AV52" s="5"/>
      <c r="AW52" s="3"/>
      <c r="AX52" s="3"/>
      <c r="AY52" s="3"/>
      <c r="AZ52" s="3"/>
      <c r="BA52" s="7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2:64" ht="3" customHeight="1" x14ac:dyDescent="0.15">
      <c r="B53" s="188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408"/>
      <c r="T53" s="408"/>
      <c r="U53" s="408"/>
      <c r="V53" s="408"/>
      <c r="W53" s="408"/>
      <c r="X53" s="66"/>
      <c r="Y53" s="66"/>
      <c r="Z53" s="66"/>
      <c r="AA53" s="66"/>
      <c r="AB53" s="66"/>
      <c r="AC53" s="67"/>
      <c r="AD53" s="408"/>
      <c r="AE53" s="408"/>
      <c r="AF53" s="408"/>
      <c r="AG53" s="408"/>
      <c r="AH53" s="27"/>
      <c r="AI53" s="441"/>
      <c r="AJ53" s="465"/>
      <c r="AK53" s="466"/>
      <c r="AL53" s="466"/>
      <c r="AM53" s="466"/>
      <c r="AN53" s="467"/>
      <c r="AO53" s="3"/>
      <c r="AP53" s="3"/>
      <c r="AQ53" s="3"/>
      <c r="AR53" s="3"/>
      <c r="AS53" s="3"/>
      <c r="AT53" s="3"/>
      <c r="AU53" s="3"/>
      <c r="AV53" s="5"/>
      <c r="AW53" s="3"/>
      <c r="AX53" s="3"/>
      <c r="AY53" s="3"/>
      <c r="AZ53" s="3"/>
      <c r="BA53" s="7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2:64" s="4" customFormat="1" ht="3.75" customHeight="1" x14ac:dyDescent="0.15">
      <c r="B54" s="431" t="str">
        <f>IF(LANGUAGE="English","Undocumented over-night stays","Udokumenteret nattillæg")</f>
        <v>Undocumented over-night stays</v>
      </c>
      <c r="C54" s="432"/>
      <c r="D54" s="432"/>
      <c r="E54" s="432"/>
      <c r="F54" s="432"/>
      <c r="G54" s="432"/>
      <c r="H54" s="432"/>
      <c r="I54" s="432"/>
      <c r="J54" s="432"/>
      <c r="K54" s="432"/>
      <c r="L54" s="432"/>
      <c r="M54" s="432"/>
      <c r="N54" s="432"/>
      <c r="O54" s="432"/>
      <c r="P54" s="432"/>
      <c r="Q54" s="432"/>
      <c r="R54" s="432"/>
      <c r="S54" s="462"/>
      <c r="T54" s="462"/>
      <c r="U54" s="462"/>
      <c r="V54" s="462"/>
      <c r="W54" s="462"/>
      <c r="X54" s="23"/>
      <c r="Y54" s="68"/>
      <c r="Z54" s="68"/>
      <c r="AA54" s="68"/>
      <c r="AB54" s="68"/>
      <c r="AC54" s="69"/>
      <c r="AD54" s="429"/>
      <c r="AE54" s="429"/>
      <c r="AF54" s="429"/>
      <c r="AG54" s="429"/>
      <c r="AH54" s="429"/>
      <c r="AI54" s="430"/>
      <c r="AJ54" s="393" t="str">
        <f>IF(S55="","",Valuta!M16)</f>
        <v/>
      </c>
      <c r="AK54" s="394"/>
      <c r="AL54" s="394"/>
      <c r="AM54" s="394"/>
      <c r="AN54" s="395"/>
      <c r="AO54" s="11"/>
      <c r="AP54" s="11"/>
      <c r="AQ54" s="11"/>
      <c r="AR54" s="11"/>
      <c r="AS54" s="11"/>
      <c r="AT54" s="11"/>
      <c r="AU54" s="11"/>
      <c r="AV54" s="12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</row>
    <row r="55" spans="2:64" ht="12" customHeight="1" x14ac:dyDescent="0.15">
      <c r="B55" s="271"/>
      <c r="C55" s="27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329"/>
      <c r="T55" s="422"/>
      <c r="U55" s="422"/>
      <c r="V55" s="422"/>
      <c r="W55" s="423"/>
      <c r="X55" s="56" t="str">
        <f>IF(LANGUAGE="English","at","á")</f>
        <v>at</v>
      </c>
      <c r="Y55" s="206">
        <f>IF(AF14="","",IF(AF14=2008,Satser!G27,Satser!H27))</f>
        <v>195</v>
      </c>
      <c r="Z55" s="424"/>
      <c r="AA55" s="424"/>
      <c r="AB55" s="57" t="str">
        <f>IF(LANGUAGE="English","DKK","kr.")</f>
        <v>DKK</v>
      </c>
      <c r="AC55" s="64"/>
      <c r="AD55" s="196"/>
      <c r="AE55" s="196"/>
      <c r="AF55" s="196"/>
      <c r="AG55" s="196"/>
      <c r="AH55" s="196"/>
      <c r="AI55" s="240"/>
      <c r="AJ55" s="390"/>
      <c r="AK55" s="391"/>
      <c r="AL55" s="391"/>
      <c r="AM55" s="391"/>
      <c r="AN55" s="392"/>
      <c r="AO55" s="3"/>
      <c r="AP55" s="3"/>
      <c r="AQ55" s="3"/>
      <c r="AR55" s="3"/>
      <c r="AS55" s="3"/>
      <c r="AT55" s="3"/>
      <c r="AU55" s="3"/>
      <c r="AV55" s="5"/>
      <c r="AW55" s="3"/>
      <c r="AX55" s="3"/>
      <c r="AY55" s="3"/>
      <c r="AZ55" s="3"/>
      <c r="BA55" s="7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</row>
    <row r="56" spans="2:64" ht="3" customHeight="1" x14ac:dyDescent="0.15">
      <c r="B56" s="264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182"/>
      <c r="T56" s="182"/>
      <c r="U56" s="182"/>
      <c r="V56" s="182"/>
      <c r="W56" s="182"/>
      <c r="X56" s="70"/>
      <c r="Y56" s="70"/>
      <c r="Z56" s="70"/>
      <c r="AA56" s="70"/>
      <c r="AB56" s="70"/>
      <c r="AC56" s="71"/>
      <c r="AD56" s="193"/>
      <c r="AE56" s="193"/>
      <c r="AF56" s="193"/>
      <c r="AG56" s="193"/>
      <c r="AH56" s="193"/>
      <c r="AI56" s="239"/>
      <c r="AJ56" s="468"/>
      <c r="AK56" s="469"/>
      <c r="AL56" s="469"/>
      <c r="AM56" s="469"/>
      <c r="AN56" s="470"/>
      <c r="AO56" s="3"/>
      <c r="AP56" s="3"/>
      <c r="AQ56" s="3"/>
      <c r="AR56" s="3"/>
      <c r="AS56" s="3"/>
      <c r="AT56" s="3"/>
      <c r="AU56" s="3"/>
      <c r="AV56" s="5"/>
      <c r="AW56" s="3"/>
      <c r="AX56" s="3"/>
      <c r="AY56" s="3"/>
      <c r="AZ56" s="3"/>
      <c r="BA56" s="7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</row>
    <row r="57" spans="2:64" ht="16.5" customHeight="1" x14ac:dyDescent="0.15">
      <c r="B57" s="149"/>
      <c r="C57" s="150"/>
      <c r="D57" s="150"/>
      <c r="E57" s="150"/>
      <c r="F57" s="150"/>
      <c r="G57" s="150"/>
      <c r="H57" s="150"/>
      <c r="I57" s="150"/>
      <c r="J57" s="150"/>
      <c r="K57" s="166" t="s">
        <v>252</v>
      </c>
      <c r="L57" s="167"/>
      <c r="M57" s="167"/>
      <c r="N57" s="167"/>
      <c r="O57" s="167"/>
      <c r="P57" s="167"/>
      <c r="Q57" s="150"/>
      <c r="R57" s="151"/>
      <c r="S57" s="411" t="str">
        <f>IF(LANGUAGE="English","Total reimbursement","Godtgørelse i alt")</f>
        <v>Total reimbursement</v>
      </c>
      <c r="T57" s="412"/>
      <c r="U57" s="412"/>
      <c r="V57" s="412"/>
      <c r="W57" s="412"/>
      <c r="X57" s="412"/>
      <c r="Y57" s="412"/>
      <c r="Z57" s="412"/>
      <c r="AA57" s="412"/>
      <c r="AB57" s="412"/>
      <c r="AC57" s="412"/>
      <c r="AD57" s="412"/>
      <c r="AE57" s="412"/>
      <c r="AF57" s="412"/>
      <c r="AG57" s="412"/>
      <c r="AH57" s="412"/>
      <c r="AI57" s="444"/>
      <c r="AJ57" s="442" t="str">
        <f>IF(Valuta!I5=0,"",IF(SUM(AJ36,AJ39,-IF(AK46="",0,AK46),AJ54)=0,"",SUM(AJ36,AJ39,-IF(AK46="",0,AK46),AJ54)))</f>
        <v/>
      </c>
      <c r="AK57" s="200"/>
      <c r="AL57" s="200"/>
      <c r="AM57" s="200"/>
      <c r="AN57" s="201"/>
      <c r="AO57" s="3"/>
      <c r="AP57" s="3"/>
      <c r="AQ57" s="3"/>
      <c r="AR57" s="3"/>
      <c r="AS57" s="3"/>
      <c r="AT57" s="3"/>
      <c r="AU57" s="3"/>
      <c r="AV57" s="5"/>
      <c r="AW57" s="3"/>
      <c r="AX57" s="3"/>
      <c r="AY57" s="3"/>
      <c r="AZ57" s="3"/>
      <c r="BA57" s="7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</row>
    <row r="58" spans="2:64" ht="9.75" customHeight="1" x14ac:dyDescent="0.15">
      <c r="B58" s="156"/>
      <c r="C58" s="156"/>
      <c r="D58" s="156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408"/>
      <c r="T58" s="408"/>
      <c r="U58" s="408"/>
      <c r="V58" s="408"/>
      <c r="W58" s="408"/>
      <c r="X58" s="408"/>
      <c r="Y58" s="408"/>
      <c r="Z58" s="408"/>
      <c r="AA58" s="408"/>
      <c r="AB58" s="408"/>
      <c r="AC58" s="408"/>
      <c r="AD58" s="408"/>
      <c r="AE58" s="408"/>
      <c r="AF58" s="408"/>
      <c r="AG58" s="408"/>
      <c r="AH58" s="408"/>
      <c r="AI58" s="408"/>
      <c r="AJ58" s="408"/>
      <c r="AK58" s="408"/>
      <c r="AL58" s="408"/>
      <c r="AM58" s="408"/>
      <c r="AN58" s="408"/>
      <c r="AO58" s="3"/>
      <c r="AP58" s="3"/>
      <c r="AQ58" s="3"/>
      <c r="AR58" s="3"/>
      <c r="AS58" s="3"/>
      <c r="AT58" s="3"/>
      <c r="AU58" s="3"/>
      <c r="AV58" s="5"/>
      <c r="AW58" s="3"/>
      <c r="AX58" s="3"/>
      <c r="AY58" s="3"/>
      <c r="AZ58" s="3"/>
      <c r="BA58" s="7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</row>
    <row r="59" spans="2:64" ht="18" customHeight="1" x14ac:dyDescent="0.15">
      <c r="B59" s="73"/>
      <c r="C59" s="73"/>
      <c r="D59" s="73"/>
      <c r="E59" s="73"/>
      <c r="F59" s="73"/>
      <c r="G59" s="73"/>
      <c r="H59" s="73"/>
      <c r="I59" s="73"/>
      <c r="J59" s="148"/>
      <c r="K59" s="164" t="s">
        <v>255</v>
      </c>
      <c r="L59" s="165"/>
      <c r="M59" s="152"/>
      <c r="N59" s="164" t="s">
        <v>253</v>
      </c>
      <c r="O59" s="165"/>
      <c r="P59" s="153" t="s">
        <v>259</v>
      </c>
      <c r="Q59" s="73"/>
      <c r="R59" s="148"/>
      <c r="S59" s="411" t="str">
        <f>IF(LANGUAGE="English","Total Expenses and Reimbursement","Udgifter og godtgørelse i alt")</f>
        <v>Total Expenses and Reimbursement</v>
      </c>
      <c r="T59" s="412"/>
      <c r="U59" s="412"/>
      <c r="V59" s="412"/>
      <c r="W59" s="412"/>
      <c r="X59" s="412"/>
      <c r="Y59" s="412"/>
      <c r="Z59" s="412"/>
      <c r="AA59" s="412"/>
      <c r="AB59" s="412"/>
      <c r="AC59" s="412"/>
      <c r="AD59" s="412"/>
      <c r="AE59" s="412"/>
      <c r="AF59" s="412"/>
      <c r="AG59" s="412"/>
      <c r="AH59" s="412"/>
      <c r="AI59" s="444"/>
      <c r="AJ59" s="158" t="str">
        <f>IF(AND(AJ33="",AJ57=""),"",SUM(AJ33,AJ57))</f>
        <v/>
      </c>
      <c r="AK59" s="159"/>
      <c r="AL59" s="159"/>
      <c r="AM59" s="159"/>
      <c r="AN59" s="160"/>
      <c r="AO59" s="3"/>
      <c r="AP59" s="3"/>
      <c r="AQ59" s="3"/>
      <c r="AR59" s="3"/>
      <c r="AS59" s="3"/>
      <c r="AT59" s="3"/>
      <c r="AU59" s="3"/>
      <c r="AV59" s="5"/>
      <c r="AW59" s="3"/>
      <c r="AX59" s="3"/>
      <c r="AY59" s="3"/>
      <c r="AZ59" s="3"/>
      <c r="BA59" s="7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</row>
    <row r="60" spans="2:64" ht="18" customHeight="1" x14ac:dyDescent="0.15">
      <c r="B60" s="73"/>
      <c r="C60" s="73"/>
      <c r="D60" s="73"/>
      <c r="E60" s="73"/>
      <c r="F60" s="73"/>
      <c r="G60" s="73"/>
      <c r="H60" s="73"/>
      <c r="I60" s="73"/>
      <c r="J60" s="148"/>
      <c r="K60" s="164" t="s">
        <v>256</v>
      </c>
      <c r="L60" s="165"/>
      <c r="M60" s="152"/>
      <c r="N60" s="164" t="s">
        <v>254</v>
      </c>
      <c r="O60" s="165"/>
      <c r="P60" s="153"/>
      <c r="Q60" s="73"/>
      <c r="R60" s="148"/>
      <c r="S60" s="445" t="str">
        <f>IF(LANGUAGE="English","Advance payment received","Allerede udbetalt rejseforskud")</f>
        <v>Advance payment received</v>
      </c>
      <c r="T60" s="446"/>
      <c r="U60" s="446"/>
      <c r="V60" s="446"/>
      <c r="W60" s="446"/>
      <c r="X60" s="446"/>
      <c r="Y60" s="446"/>
      <c r="Z60" s="446"/>
      <c r="AA60" s="446"/>
      <c r="AB60" s="446"/>
      <c r="AC60" s="446"/>
      <c r="AD60" s="446"/>
      <c r="AE60" s="446"/>
      <c r="AF60" s="446"/>
      <c r="AG60" s="446"/>
      <c r="AH60" s="446"/>
      <c r="AI60" s="447"/>
      <c r="AJ60" s="72" t="s">
        <v>3</v>
      </c>
      <c r="AK60" s="183"/>
      <c r="AL60" s="183"/>
      <c r="AM60" s="183"/>
      <c r="AN60" s="184"/>
      <c r="AO60" s="3"/>
      <c r="AP60" s="3"/>
      <c r="AQ60" s="3"/>
      <c r="AR60" s="3"/>
      <c r="AS60" s="3"/>
      <c r="AT60" s="3"/>
      <c r="AU60" s="3"/>
      <c r="AV60" s="5"/>
      <c r="AW60" s="3"/>
      <c r="AX60" s="3"/>
      <c r="AY60" s="3"/>
      <c r="AZ60" s="3"/>
      <c r="BA60" s="7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</row>
    <row r="61" spans="2:64" ht="18" customHeight="1" x14ac:dyDescent="0.15">
      <c r="B61" s="73"/>
      <c r="C61" s="73"/>
      <c r="D61" s="73"/>
      <c r="E61" s="73"/>
      <c r="F61" s="73"/>
      <c r="G61" s="73"/>
      <c r="H61" s="73"/>
      <c r="I61" s="73"/>
      <c r="J61" s="148"/>
      <c r="K61" s="164" t="s">
        <v>257</v>
      </c>
      <c r="L61" s="165"/>
      <c r="M61" s="152"/>
      <c r="N61" s="147"/>
      <c r="O61" s="26"/>
      <c r="P61" s="73"/>
      <c r="Q61" s="73"/>
      <c r="R61" s="148"/>
      <c r="S61" s="448" t="str">
        <f>IF(LANGUAGE="English","Total expenses to be paid / refunded","I alt at udbetale eller tilbagebetale")</f>
        <v>Total expenses to be paid / refunded</v>
      </c>
      <c r="T61" s="449"/>
      <c r="U61" s="449"/>
      <c r="V61" s="449"/>
      <c r="W61" s="449"/>
      <c r="X61" s="449"/>
      <c r="Y61" s="449"/>
      <c r="Z61" s="449"/>
      <c r="AA61" s="449"/>
      <c r="AB61" s="449"/>
      <c r="AC61" s="449"/>
      <c r="AD61" s="449"/>
      <c r="AE61" s="449"/>
      <c r="AF61" s="449"/>
      <c r="AG61" s="449"/>
      <c r="AH61" s="449"/>
      <c r="AI61" s="450"/>
      <c r="AJ61" s="158" t="str">
        <f>IF(AND(AJ59="",AK60=""),"",SUM(AJ59,-IF(AK60="",0,AK60)))</f>
        <v/>
      </c>
      <c r="AK61" s="159"/>
      <c r="AL61" s="159"/>
      <c r="AM61" s="159"/>
      <c r="AN61" s="160"/>
      <c r="AO61" s="3"/>
      <c r="AP61" s="3"/>
      <c r="AQ61" s="3"/>
      <c r="AR61" s="3"/>
      <c r="AS61" s="3"/>
      <c r="AT61" s="3"/>
      <c r="AU61" s="3"/>
      <c r="AV61" s="5"/>
      <c r="AW61" s="3"/>
      <c r="AX61" s="3"/>
      <c r="AY61" s="3"/>
      <c r="AZ61" s="3"/>
      <c r="BA61" s="7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</row>
    <row r="62" spans="2:64" x14ac:dyDescent="0.15">
      <c r="B62" s="185" t="str">
        <f>IF(LANGUAGE="English","Confirmation of the above","Bekræftelse af ovenstående:")</f>
        <v>Confirmation of the above</v>
      </c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6"/>
      <c r="N62" s="186"/>
      <c r="O62" s="186"/>
      <c r="P62" s="443"/>
      <c r="Q62" s="443"/>
      <c r="R62" s="443"/>
      <c r="S62" s="443"/>
      <c r="T62" s="443"/>
      <c r="U62" s="443"/>
      <c r="V62" s="443"/>
      <c r="W62" s="443"/>
      <c r="X62" s="443"/>
      <c r="Y62" s="443"/>
      <c r="Z62" s="443"/>
      <c r="AA62" s="443"/>
      <c r="AB62" s="443"/>
      <c r="AC62" s="443"/>
      <c r="AD62" s="443"/>
      <c r="AE62" s="443"/>
      <c r="AF62" s="443"/>
      <c r="AG62" s="443"/>
      <c r="AH62" s="443"/>
      <c r="AI62" s="443"/>
      <c r="AJ62" s="443"/>
      <c r="AK62" s="443"/>
      <c r="AL62" s="443"/>
      <c r="AM62" s="443"/>
      <c r="AN62" s="443"/>
      <c r="AO62" s="3"/>
      <c r="AP62" s="3"/>
      <c r="AQ62" s="3"/>
      <c r="AR62" s="3"/>
      <c r="AS62" s="3"/>
      <c r="AT62" s="3"/>
      <c r="AU62" s="3"/>
      <c r="AV62" s="5"/>
      <c r="AW62" s="3"/>
      <c r="AX62" s="3"/>
      <c r="AY62" s="3"/>
      <c r="AZ62" s="3"/>
      <c r="BA62" s="7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</row>
    <row r="63" spans="2:64" ht="4.5" customHeight="1" x14ac:dyDescent="0.15"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3"/>
      <c r="AP63" s="3"/>
      <c r="AQ63" s="3"/>
      <c r="AR63" s="3"/>
      <c r="AS63" s="3"/>
      <c r="AT63" s="3"/>
      <c r="AU63" s="3"/>
      <c r="AV63" s="5"/>
      <c r="AW63" s="3"/>
      <c r="AX63" s="3"/>
      <c r="AY63" s="3"/>
      <c r="AZ63" s="3"/>
      <c r="BA63" s="7"/>
      <c r="BB63" s="3"/>
      <c r="BC63" s="3"/>
      <c r="BD63" s="3"/>
      <c r="BE63" s="3"/>
    </row>
    <row r="64" spans="2:64" ht="24" customHeight="1" x14ac:dyDescent="0.15">
      <c r="B64" s="463"/>
      <c r="C64" s="464"/>
      <c r="D64" s="73"/>
      <c r="E64" s="288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73"/>
      <c r="Q64" s="23"/>
      <c r="R64" s="23"/>
      <c r="S64" s="23"/>
      <c r="T64" s="161"/>
      <c r="U64" s="161"/>
      <c r="V64" s="161"/>
      <c r="W64" s="288"/>
      <c r="X64" s="288"/>
      <c r="Y64" s="288"/>
      <c r="Z64" s="288"/>
      <c r="AA64" s="288"/>
      <c r="AB64" s="288"/>
      <c r="AC64" s="288"/>
      <c r="AD64" s="288"/>
      <c r="AE64" s="288"/>
      <c r="AF64" s="288"/>
      <c r="AG64" s="288"/>
      <c r="AH64" s="288"/>
      <c r="AI64" s="288"/>
      <c r="AJ64" s="288"/>
      <c r="AK64" s="288"/>
      <c r="AL64" s="288"/>
      <c r="AM64" s="288"/>
      <c r="AN64" s="288"/>
      <c r="AO64" s="3"/>
      <c r="AP64" s="3"/>
      <c r="AQ64" s="3"/>
      <c r="AR64" s="3"/>
      <c r="AS64" s="3"/>
      <c r="AT64" s="3"/>
      <c r="AU64" s="3"/>
      <c r="AV64" s="5"/>
      <c r="AW64" s="3"/>
      <c r="AX64" s="3"/>
      <c r="AY64" s="3"/>
      <c r="AZ64" s="3"/>
      <c r="BA64" s="7"/>
      <c r="BB64" s="3"/>
      <c r="BC64" s="3"/>
      <c r="BD64" s="3"/>
      <c r="BE64" s="3"/>
    </row>
    <row r="65" spans="2:57" ht="18" customHeight="1" x14ac:dyDescent="0.15">
      <c r="B65" s="174" t="str">
        <f>IF(LANGUAGE="English","Date","Dato")</f>
        <v>Date</v>
      </c>
      <c r="C65" s="174"/>
      <c r="D65" s="26"/>
      <c r="E65" s="396" t="str">
        <f>IF(LANGUAGE="English","Signature of the traveller","Underskrift (af den rejsende)")</f>
        <v>Signature of the traveller</v>
      </c>
      <c r="F65" s="196"/>
      <c r="G65" s="196"/>
      <c r="H65" s="196"/>
      <c r="I65" s="196"/>
      <c r="J65" s="196"/>
      <c r="K65" s="196"/>
      <c r="L65" s="156"/>
      <c r="M65" s="156"/>
      <c r="N65" s="156"/>
      <c r="O65" s="156"/>
      <c r="P65" s="73"/>
      <c r="Q65" s="23"/>
      <c r="R65" s="23"/>
      <c r="S65" s="23"/>
      <c r="T65" s="157" t="str">
        <f>B65</f>
        <v>Date</v>
      </c>
      <c r="U65" s="157"/>
      <c r="V65" s="157"/>
      <c r="W65" s="180" t="str">
        <f>IF(LANGUAGE="English","AUID     Signature (Projektøkonom/forretningscontroller)","Underskrift (af den anvisningsberettigede)")</f>
        <v>AUID     Signature (Projektøkonom/forretningscontroller)</v>
      </c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3"/>
      <c r="AP65" s="3"/>
      <c r="AQ65" s="3"/>
      <c r="AR65" s="3"/>
      <c r="AS65" s="3"/>
      <c r="AT65" s="3"/>
      <c r="AU65" s="3"/>
      <c r="AV65" s="5"/>
      <c r="AW65" s="3"/>
      <c r="AX65" s="3"/>
      <c r="AY65" s="3"/>
      <c r="AZ65" s="3"/>
      <c r="BA65" s="7"/>
      <c r="BB65" s="3"/>
      <c r="BC65" s="3"/>
      <c r="BD65" s="3"/>
      <c r="BE65" s="3"/>
    </row>
    <row r="66" spans="2:57" ht="9.75" customHeight="1" x14ac:dyDescent="0.15">
      <c r="B66" s="27"/>
      <c r="C66" s="27"/>
      <c r="D66" s="73"/>
      <c r="E66" s="24"/>
      <c r="F66" s="24"/>
      <c r="G66" s="24"/>
      <c r="H66" s="24"/>
      <c r="I66" s="24"/>
      <c r="J66" s="24"/>
      <c r="K66" s="24"/>
      <c r="L66" s="27"/>
      <c r="M66" s="27"/>
      <c r="N66" s="27"/>
      <c r="O66" s="27"/>
      <c r="P66" s="73"/>
      <c r="Q66" s="27"/>
      <c r="R66" s="27"/>
      <c r="S66" s="27"/>
      <c r="T66" s="73"/>
      <c r="U66" s="73"/>
      <c r="V66" s="73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3"/>
      <c r="AP66" s="3"/>
      <c r="AQ66" s="3"/>
      <c r="AR66" s="3"/>
      <c r="AS66" s="3"/>
      <c r="AT66" s="3"/>
      <c r="AU66" s="3"/>
      <c r="AV66" s="5"/>
      <c r="AW66" s="3"/>
      <c r="AX66" s="3"/>
      <c r="AY66" s="3"/>
      <c r="AZ66" s="3"/>
      <c r="BA66" s="7"/>
      <c r="BB66" s="3"/>
      <c r="BC66" s="3"/>
      <c r="BD66" s="3"/>
      <c r="BE66" s="3"/>
    </row>
    <row r="67" spans="2:57" ht="12" customHeight="1" x14ac:dyDescent="0.15">
      <c r="B67" s="460" t="str">
        <f>IF(LANGUAGE="English","Reserved","Forbeholdt")</f>
        <v>Reserved</v>
      </c>
      <c r="C67" s="461"/>
      <c r="D67" s="461"/>
      <c r="E67" s="80" t="str">
        <f>IF(LANGUAGE="English","University of Aarhus","Aarhus Universitet")</f>
        <v>University of Aarhus</v>
      </c>
      <c r="F67" s="79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5"/>
      <c r="AO67" s="3"/>
      <c r="AP67" s="3"/>
      <c r="AQ67" s="3"/>
      <c r="AR67" s="3"/>
      <c r="AS67" s="3"/>
      <c r="AT67" s="3"/>
      <c r="AU67" s="3"/>
      <c r="AV67" s="5"/>
      <c r="AW67" s="3"/>
      <c r="AX67" s="3"/>
      <c r="AY67" s="3"/>
      <c r="AZ67" s="3"/>
      <c r="BA67" s="7"/>
      <c r="BB67" s="3"/>
      <c r="BC67" s="3"/>
      <c r="BD67" s="3"/>
      <c r="BE67" s="3"/>
    </row>
    <row r="68" spans="2:57" ht="18" customHeight="1" x14ac:dyDescent="0.15">
      <c r="B68" s="164" t="s">
        <v>151</v>
      </c>
      <c r="C68" s="178"/>
      <c r="D68" s="178"/>
      <c r="E68" s="178"/>
      <c r="F68" s="178"/>
      <c r="G68" s="178"/>
      <c r="H68" s="178"/>
      <c r="I68" s="179"/>
      <c r="J68" s="164" t="s">
        <v>249</v>
      </c>
      <c r="K68" s="178"/>
      <c r="L68" s="178"/>
      <c r="M68" s="178"/>
      <c r="N68" s="178"/>
      <c r="O68" s="178"/>
      <c r="P68" s="179"/>
      <c r="Q68" s="164" t="s">
        <v>248</v>
      </c>
      <c r="R68" s="178"/>
      <c r="S68" s="178"/>
      <c r="T68" s="178"/>
      <c r="U68" s="178"/>
      <c r="V68" s="178"/>
      <c r="W68" s="178"/>
      <c r="X68" s="179"/>
      <c r="Y68" s="162" t="s">
        <v>250</v>
      </c>
      <c r="Z68" s="163"/>
      <c r="AA68" s="178" t="s">
        <v>247</v>
      </c>
      <c r="AB68" s="178"/>
      <c r="AC68" s="178"/>
      <c r="AD68" s="178"/>
      <c r="AE68" s="178"/>
      <c r="AF68" s="178"/>
      <c r="AG68" s="178"/>
      <c r="AH68" s="178"/>
      <c r="AI68" s="179"/>
      <c r="AJ68" s="171" t="s">
        <v>1</v>
      </c>
      <c r="AK68" s="171"/>
      <c r="AL68" s="171"/>
      <c r="AM68" s="171"/>
      <c r="AN68" s="171"/>
      <c r="AO68" s="3"/>
      <c r="AP68" s="3"/>
      <c r="AQ68" s="3"/>
      <c r="AR68" s="3"/>
      <c r="AS68" s="3"/>
      <c r="AT68" s="3"/>
      <c r="AU68" s="3"/>
      <c r="AV68" s="5"/>
      <c r="AW68" s="3"/>
      <c r="AX68" s="3"/>
      <c r="AY68" s="3"/>
      <c r="AZ68" s="3"/>
      <c r="BA68" s="7"/>
      <c r="BB68" s="3"/>
      <c r="BC68" s="3"/>
      <c r="BD68" s="3"/>
      <c r="BE68" s="3"/>
    </row>
    <row r="69" spans="2:57" ht="18" customHeight="1" x14ac:dyDescent="0.15">
      <c r="B69" s="168" t="str">
        <f ca="1">IF(OR(Beregninger!K7="",Beregninger!K7=0),"",Beregninger!L7)</f>
        <v/>
      </c>
      <c r="C69" s="169"/>
      <c r="D69" s="169"/>
      <c r="E69" s="169"/>
      <c r="F69" s="169"/>
      <c r="G69" s="169"/>
      <c r="H69" s="169"/>
      <c r="I69" s="170"/>
      <c r="J69" s="154"/>
      <c r="K69" s="181"/>
      <c r="L69" s="181"/>
      <c r="M69" s="181"/>
      <c r="N69" s="181"/>
      <c r="O69" s="181"/>
      <c r="P69" s="155"/>
      <c r="Q69" s="436"/>
      <c r="R69" s="437"/>
      <c r="S69" s="437"/>
      <c r="T69" s="437"/>
      <c r="U69" s="437"/>
      <c r="V69" s="437"/>
      <c r="W69" s="437"/>
      <c r="X69" s="438"/>
      <c r="Y69" s="154"/>
      <c r="Z69" s="155"/>
      <c r="AA69" s="181"/>
      <c r="AB69" s="181"/>
      <c r="AC69" s="181"/>
      <c r="AD69" s="181"/>
      <c r="AE69" s="181"/>
      <c r="AF69" s="181"/>
      <c r="AG69" s="181"/>
      <c r="AH69" s="181"/>
      <c r="AI69" s="155"/>
      <c r="AJ69" s="172" t="str">
        <f ca="1">IF(ISERROR(INDEX(Beregninger!$E$6:$G$14, MATCH(Beregninger!K7,Beregninger!$E$6:$E$14,), MATCH(2,Beregninger!$E$6:$G$6,))),"",INDEX(Beregninger!$E$6:$G$14, MATCH(Beregninger!K7,Beregninger!$E$6:$E$14,), MATCH(2,Beregninger!$E$6:$G$6,)))</f>
        <v/>
      </c>
      <c r="AK69" s="173"/>
      <c r="AL69" s="173"/>
      <c r="AM69" s="173"/>
      <c r="AN69" s="173"/>
      <c r="AP69" s="3"/>
      <c r="AQ69" s="3"/>
      <c r="AR69" s="3"/>
      <c r="AS69" s="3"/>
      <c r="AT69" s="3"/>
      <c r="AU69" s="3"/>
      <c r="AV69" s="5"/>
      <c r="AW69" s="3"/>
      <c r="AX69" s="3"/>
      <c r="AY69" s="3"/>
      <c r="AZ69" s="3"/>
      <c r="BA69" s="7"/>
      <c r="BB69" s="3"/>
      <c r="BC69" s="3"/>
      <c r="BD69" s="3"/>
      <c r="BE69" s="3"/>
    </row>
    <row r="70" spans="2:57" ht="18" customHeight="1" x14ac:dyDescent="0.15">
      <c r="B70" s="168" t="str">
        <f ca="1">IF(OR(Beregninger!K8="",Beregninger!K8=0),"",Beregninger!L8)</f>
        <v/>
      </c>
      <c r="C70" s="169"/>
      <c r="D70" s="169"/>
      <c r="E70" s="169"/>
      <c r="F70" s="169"/>
      <c r="G70" s="169"/>
      <c r="H70" s="169"/>
      <c r="I70" s="170"/>
      <c r="J70" s="154"/>
      <c r="K70" s="181"/>
      <c r="L70" s="181"/>
      <c r="M70" s="181"/>
      <c r="N70" s="181"/>
      <c r="O70" s="181"/>
      <c r="P70" s="155"/>
      <c r="Q70" s="436"/>
      <c r="R70" s="437"/>
      <c r="S70" s="437"/>
      <c r="T70" s="437"/>
      <c r="U70" s="437"/>
      <c r="V70" s="437"/>
      <c r="W70" s="437"/>
      <c r="X70" s="438"/>
      <c r="Y70" s="154"/>
      <c r="Z70" s="155"/>
      <c r="AA70" s="181"/>
      <c r="AB70" s="181"/>
      <c r="AC70" s="181"/>
      <c r="AD70" s="181"/>
      <c r="AE70" s="181"/>
      <c r="AF70" s="181"/>
      <c r="AG70" s="181"/>
      <c r="AH70" s="181"/>
      <c r="AI70" s="155"/>
      <c r="AJ70" s="172" t="str">
        <f ca="1">IF(ISERROR(INDEX(Beregninger!$E$6:$G$14, MATCH(Beregninger!K8,Beregninger!$E$6:$E$14,), MATCH(2,Beregninger!$E$6:$G$6,))),"",INDEX(Beregninger!$E$6:$G$14, MATCH(Beregninger!K8,Beregninger!$E$6:$E$14,), MATCH(2,Beregninger!$E$6:$G$6,)))</f>
        <v/>
      </c>
      <c r="AK70" s="173"/>
      <c r="AL70" s="173"/>
      <c r="AM70" s="173"/>
      <c r="AN70" s="173"/>
      <c r="AP70" s="3"/>
      <c r="AQ70" s="3"/>
      <c r="AR70" s="3"/>
      <c r="AS70" s="3"/>
      <c r="AT70" s="3"/>
      <c r="AU70" s="3"/>
      <c r="AV70" s="5"/>
      <c r="AW70" s="3"/>
      <c r="AX70" s="3"/>
      <c r="AY70" s="3"/>
      <c r="AZ70" s="3"/>
      <c r="BA70" s="7"/>
      <c r="BB70" s="3"/>
      <c r="BC70" s="3"/>
      <c r="BD70" s="3"/>
      <c r="BE70" s="3"/>
    </row>
    <row r="71" spans="2:57" ht="18" customHeight="1" x14ac:dyDescent="0.15">
      <c r="B71" s="168" t="str">
        <f ca="1">IF(OR(Beregninger!K9="",Beregninger!K9=0),"",Beregninger!L9)</f>
        <v/>
      </c>
      <c r="C71" s="169"/>
      <c r="D71" s="169"/>
      <c r="E71" s="169"/>
      <c r="F71" s="169"/>
      <c r="G71" s="169"/>
      <c r="H71" s="169"/>
      <c r="I71" s="170"/>
      <c r="J71" s="154"/>
      <c r="K71" s="181"/>
      <c r="L71" s="181"/>
      <c r="M71" s="181"/>
      <c r="N71" s="181"/>
      <c r="O71" s="181"/>
      <c r="P71" s="155"/>
      <c r="Q71" s="436"/>
      <c r="R71" s="437"/>
      <c r="S71" s="437"/>
      <c r="T71" s="437"/>
      <c r="U71" s="437"/>
      <c r="V71" s="437"/>
      <c r="W71" s="437"/>
      <c r="X71" s="438"/>
      <c r="Y71" s="154"/>
      <c r="Z71" s="155"/>
      <c r="AA71" s="181"/>
      <c r="AB71" s="181"/>
      <c r="AC71" s="181"/>
      <c r="AD71" s="181"/>
      <c r="AE71" s="181"/>
      <c r="AF71" s="181"/>
      <c r="AG71" s="181"/>
      <c r="AH71" s="181"/>
      <c r="AI71" s="155"/>
      <c r="AJ71" s="172" t="str">
        <f ca="1">IF(ISERROR(INDEX(Beregninger!$E$6:$G$14, MATCH(Beregninger!K9,Beregninger!$E$6:$E$14,), MATCH(2,Beregninger!$E$6:$G$6,))),"",INDEX(Beregninger!$E$6:$G$14, MATCH(Beregninger!K9,Beregninger!$E$6:$E$14,), MATCH(2,Beregninger!$E$6:$G$6,)))</f>
        <v/>
      </c>
      <c r="AK71" s="173"/>
      <c r="AL71" s="173"/>
      <c r="AM71" s="173"/>
      <c r="AN71" s="173"/>
      <c r="AP71" s="3"/>
      <c r="AQ71" s="3"/>
      <c r="AR71" s="3"/>
      <c r="AS71" s="3"/>
      <c r="AT71" s="3"/>
      <c r="AU71" s="3"/>
      <c r="AV71" s="5"/>
      <c r="AW71" s="3"/>
      <c r="AX71" s="3"/>
      <c r="AY71" s="3"/>
      <c r="AZ71" s="3"/>
      <c r="BA71" s="7"/>
      <c r="BB71" s="3"/>
      <c r="BC71" s="3"/>
      <c r="BD71" s="3"/>
      <c r="BE71" s="3"/>
    </row>
    <row r="72" spans="2:57" ht="18" customHeight="1" x14ac:dyDescent="0.15">
      <c r="B72" s="168" t="str">
        <f ca="1">IF(OR(Beregninger!K10="",Beregninger!K10=0),"",Beregninger!L10)</f>
        <v/>
      </c>
      <c r="C72" s="169"/>
      <c r="D72" s="169"/>
      <c r="E72" s="169"/>
      <c r="F72" s="169"/>
      <c r="G72" s="169"/>
      <c r="H72" s="169"/>
      <c r="I72" s="170"/>
      <c r="J72" s="154"/>
      <c r="K72" s="181"/>
      <c r="L72" s="181"/>
      <c r="M72" s="181"/>
      <c r="N72" s="181"/>
      <c r="O72" s="181"/>
      <c r="P72" s="155"/>
      <c r="Q72" s="436"/>
      <c r="R72" s="437"/>
      <c r="S72" s="437"/>
      <c r="T72" s="437"/>
      <c r="U72" s="437"/>
      <c r="V72" s="437"/>
      <c r="W72" s="437"/>
      <c r="X72" s="438"/>
      <c r="Y72" s="154"/>
      <c r="Z72" s="155"/>
      <c r="AA72" s="181"/>
      <c r="AB72" s="181"/>
      <c r="AC72" s="181"/>
      <c r="AD72" s="181"/>
      <c r="AE72" s="181"/>
      <c r="AF72" s="181"/>
      <c r="AG72" s="181"/>
      <c r="AH72" s="181"/>
      <c r="AI72" s="155"/>
      <c r="AJ72" s="172" t="str">
        <f ca="1">IF(ISERROR(INDEX(Beregninger!$E$6:$G$14, MATCH(Beregninger!K10,Beregninger!$E$6:$E$14,), MATCH(2,Beregninger!$E$6:$G$6,))),"",INDEX(Beregninger!$E$6:$G$14, MATCH(Beregninger!K10,Beregninger!$E$6:$E$14,), MATCH(2,Beregninger!$E$6:$G$6,)))</f>
        <v/>
      </c>
      <c r="AK72" s="173"/>
      <c r="AL72" s="173"/>
      <c r="AM72" s="173"/>
      <c r="AN72" s="173"/>
      <c r="AP72" s="3"/>
      <c r="AQ72" s="3"/>
      <c r="AR72" s="3"/>
      <c r="AS72" s="3"/>
      <c r="AT72" s="3"/>
      <c r="AU72" s="3"/>
      <c r="AV72" s="5"/>
      <c r="AW72" s="3"/>
      <c r="AX72" s="3"/>
      <c r="AY72" s="3"/>
      <c r="AZ72" s="3"/>
      <c r="BA72" s="7"/>
      <c r="BB72" s="3"/>
      <c r="BC72" s="3"/>
      <c r="BD72" s="3"/>
      <c r="BE72" s="3"/>
    </row>
    <row r="73" spans="2:57" ht="18" customHeight="1" x14ac:dyDescent="0.15">
      <c r="B73" s="168" t="str">
        <f ca="1">IF(OR(Beregninger!K11="",Beregninger!K11=0),"",Beregninger!L11)</f>
        <v/>
      </c>
      <c r="C73" s="169"/>
      <c r="D73" s="169"/>
      <c r="E73" s="169"/>
      <c r="F73" s="169"/>
      <c r="G73" s="169"/>
      <c r="H73" s="169"/>
      <c r="I73" s="170"/>
      <c r="J73" s="154"/>
      <c r="K73" s="181"/>
      <c r="L73" s="181"/>
      <c r="M73" s="181"/>
      <c r="N73" s="181"/>
      <c r="O73" s="181"/>
      <c r="P73" s="155"/>
      <c r="Q73" s="436"/>
      <c r="R73" s="437"/>
      <c r="S73" s="437"/>
      <c r="T73" s="437"/>
      <c r="U73" s="437"/>
      <c r="V73" s="437"/>
      <c r="W73" s="437"/>
      <c r="X73" s="438"/>
      <c r="Y73" s="154"/>
      <c r="Z73" s="155"/>
      <c r="AA73" s="181"/>
      <c r="AB73" s="181"/>
      <c r="AC73" s="181"/>
      <c r="AD73" s="181"/>
      <c r="AE73" s="181"/>
      <c r="AF73" s="181"/>
      <c r="AG73" s="181"/>
      <c r="AH73" s="181"/>
      <c r="AI73" s="155"/>
      <c r="AJ73" s="172" t="str">
        <f ca="1">IF(ISERROR(INDEX(Beregninger!$E$6:$G$14, MATCH(Beregninger!K11,Beregninger!$E$6:$E$14,), MATCH(2,Beregninger!$E$6:$G$6,))),"",INDEX(Beregninger!$E$6:$G$14, MATCH(Beregninger!K11,Beregninger!$E$6:$E$14,), MATCH(2,Beregninger!$E$6:$G$6,)))</f>
        <v/>
      </c>
      <c r="AK73" s="173"/>
      <c r="AL73" s="173"/>
      <c r="AM73" s="173"/>
      <c r="AN73" s="173"/>
      <c r="AP73" s="3"/>
      <c r="AQ73" s="3"/>
      <c r="AR73" s="3"/>
      <c r="AS73" s="3"/>
      <c r="AT73" s="3"/>
      <c r="AU73" s="3"/>
      <c r="AV73" s="5"/>
      <c r="AW73" s="3"/>
      <c r="AX73" s="3"/>
      <c r="AY73" s="3"/>
      <c r="AZ73" s="3"/>
      <c r="BA73" s="7"/>
      <c r="BB73" s="3"/>
      <c r="BC73" s="3"/>
      <c r="BD73" s="3"/>
      <c r="BE73" s="3"/>
    </row>
    <row r="74" spans="2:57" ht="18" customHeight="1" x14ac:dyDescent="0.15">
      <c r="B74" s="168" t="str">
        <f ca="1">IF(OR(Beregninger!K12="",Beregninger!K12=0),"",Beregninger!L12)</f>
        <v/>
      </c>
      <c r="C74" s="169"/>
      <c r="D74" s="169"/>
      <c r="E74" s="169"/>
      <c r="F74" s="169"/>
      <c r="G74" s="169"/>
      <c r="H74" s="169"/>
      <c r="I74" s="170"/>
      <c r="J74" s="154"/>
      <c r="K74" s="181"/>
      <c r="L74" s="181"/>
      <c r="M74" s="181"/>
      <c r="N74" s="181"/>
      <c r="O74" s="181"/>
      <c r="P74" s="155"/>
      <c r="Q74" s="436"/>
      <c r="R74" s="437"/>
      <c r="S74" s="437"/>
      <c r="T74" s="437"/>
      <c r="U74" s="437"/>
      <c r="V74" s="437"/>
      <c r="W74" s="437"/>
      <c r="X74" s="438"/>
      <c r="Y74" s="154"/>
      <c r="Z74" s="155"/>
      <c r="AA74" s="181"/>
      <c r="AB74" s="181"/>
      <c r="AC74" s="181"/>
      <c r="AD74" s="181"/>
      <c r="AE74" s="181"/>
      <c r="AF74" s="181"/>
      <c r="AG74" s="181"/>
      <c r="AH74" s="181"/>
      <c r="AI74" s="155"/>
      <c r="AJ74" s="172" t="str">
        <f ca="1">IF(ISERROR(INDEX(Beregninger!$E$6:$G$14, MATCH(Beregninger!K12,Beregninger!$E$6:$E$14,), MATCH(2,Beregninger!$E$6:$G$6,))),"",INDEX(Beregninger!$E$6:$G$14, MATCH(Beregninger!K12,Beregninger!$E$6:$E$14,), MATCH(2,Beregninger!$E$6:$G$6,)))</f>
        <v/>
      </c>
      <c r="AK74" s="173"/>
      <c r="AL74" s="173"/>
      <c r="AM74" s="173"/>
      <c r="AN74" s="173"/>
      <c r="AP74" s="3"/>
      <c r="AQ74" s="3"/>
      <c r="AR74" s="3"/>
      <c r="AS74" s="3"/>
      <c r="AT74" s="3"/>
      <c r="AU74" s="3"/>
      <c r="AV74" s="5"/>
      <c r="AW74" s="3"/>
      <c r="AX74" s="3"/>
      <c r="AY74" s="3"/>
      <c r="AZ74" s="3"/>
      <c r="BA74" s="7"/>
      <c r="BB74" s="3"/>
      <c r="BC74" s="3"/>
      <c r="BD74" s="3"/>
      <c r="BE74" s="3"/>
    </row>
    <row r="75" spans="2:57" ht="18" customHeight="1" x14ac:dyDescent="0.15">
      <c r="B75" s="168" t="str">
        <f ca="1">IF(OR(Beregninger!K13="",Beregninger!K13=0),"",Beregninger!L13)</f>
        <v/>
      </c>
      <c r="C75" s="169"/>
      <c r="D75" s="169"/>
      <c r="E75" s="169"/>
      <c r="F75" s="169"/>
      <c r="G75" s="169"/>
      <c r="H75" s="169"/>
      <c r="I75" s="170"/>
      <c r="J75" s="154"/>
      <c r="K75" s="181"/>
      <c r="L75" s="181"/>
      <c r="M75" s="181"/>
      <c r="N75" s="181"/>
      <c r="O75" s="181"/>
      <c r="P75" s="155"/>
      <c r="Q75" s="436"/>
      <c r="R75" s="437"/>
      <c r="S75" s="437"/>
      <c r="T75" s="437"/>
      <c r="U75" s="437"/>
      <c r="V75" s="437"/>
      <c r="W75" s="437"/>
      <c r="X75" s="438"/>
      <c r="Y75" s="154"/>
      <c r="Z75" s="155"/>
      <c r="AA75" s="181"/>
      <c r="AB75" s="181"/>
      <c r="AC75" s="181"/>
      <c r="AD75" s="181"/>
      <c r="AE75" s="181"/>
      <c r="AF75" s="181"/>
      <c r="AG75" s="181"/>
      <c r="AH75" s="181"/>
      <c r="AI75" s="155"/>
      <c r="AJ75" s="172" t="str">
        <f ca="1">IF(ISERROR(INDEX(Beregninger!$E$6:$G$14, MATCH(Beregninger!K13,Beregninger!$E$6:$E$14,), MATCH(2,Beregninger!$E$6:$G$6,))),"",INDEX(Beregninger!$E$6:$G$14, MATCH(Beregninger!K13,Beregninger!$E$6:$E$14,), MATCH(2,Beregninger!$E$6:$G$6,)))</f>
        <v/>
      </c>
      <c r="AK75" s="173"/>
      <c r="AL75" s="173"/>
      <c r="AM75" s="173"/>
      <c r="AN75" s="173"/>
      <c r="AP75" s="3"/>
      <c r="AQ75" s="3"/>
      <c r="AR75" s="3"/>
      <c r="AS75" s="3"/>
      <c r="AT75" s="3"/>
      <c r="AU75" s="3"/>
      <c r="AV75" s="5"/>
      <c r="AW75" s="3"/>
      <c r="AX75" s="3"/>
      <c r="AY75" s="3"/>
      <c r="AZ75" s="3"/>
      <c r="BA75" s="7"/>
      <c r="BB75" s="3"/>
      <c r="BC75" s="3"/>
      <c r="BD75" s="3"/>
      <c r="BE75" s="3"/>
    </row>
    <row r="76" spans="2:57" ht="18" customHeight="1" x14ac:dyDescent="0.15">
      <c r="B76" s="175" t="str">
        <f ca="1">IF(OR(Beregninger!K14="",Beregninger!K14=0),"",Beregninger!L14)</f>
        <v/>
      </c>
      <c r="C76" s="176"/>
      <c r="D76" s="176"/>
      <c r="E76" s="176"/>
      <c r="F76" s="176"/>
      <c r="G76" s="176"/>
      <c r="H76" s="176"/>
      <c r="I76" s="177"/>
      <c r="J76" s="154"/>
      <c r="K76" s="181"/>
      <c r="L76" s="181"/>
      <c r="M76" s="181"/>
      <c r="N76" s="181"/>
      <c r="O76" s="181"/>
      <c r="P76" s="155"/>
      <c r="Q76" s="436"/>
      <c r="R76" s="437"/>
      <c r="S76" s="437"/>
      <c r="T76" s="437"/>
      <c r="U76" s="437"/>
      <c r="V76" s="437"/>
      <c r="W76" s="437"/>
      <c r="X76" s="438"/>
      <c r="Y76" s="154"/>
      <c r="Z76" s="155"/>
      <c r="AA76" s="181"/>
      <c r="AB76" s="181"/>
      <c r="AC76" s="181"/>
      <c r="AD76" s="181"/>
      <c r="AE76" s="181"/>
      <c r="AF76" s="181"/>
      <c r="AG76" s="181"/>
      <c r="AH76" s="181"/>
      <c r="AI76" s="155"/>
      <c r="AJ76" s="172" t="str">
        <f ca="1">IF(ISERROR(INDEX(Beregninger!$E$6:$G$14, MATCH(Beregninger!K14,Beregninger!$E$6:$E$14,), MATCH(2,Beregninger!$E$6:$G$6,))),"",INDEX(Beregninger!$E$6:$G$14, MATCH(Beregninger!K14,Beregninger!$E$6:$E$14,), MATCH(2,Beregninger!$E$6:$G$6,)))</f>
        <v/>
      </c>
      <c r="AK76" s="173"/>
      <c r="AL76" s="173"/>
      <c r="AM76" s="173"/>
      <c r="AN76" s="173"/>
      <c r="AO76" s="3"/>
      <c r="AP76" s="3"/>
      <c r="AQ76" s="3"/>
      <c r="AR76" s="3"/>
      <c r="AS76" s="3"/>
      <c r="AT76" s="3"/>
      <c r="AU76" s="3"/>
      <c r="AV76" s="5"/>
      <c r="AW76" s="3"/>
      <c r="AX76" s="3"/>
      <c r="AY76" s="3"/>
      <c r="AZ76" s="3"/>
      <c r="BA76" s="7"/>
      <c r="BB76" s="3"/>
      <c r="BC76" s="3"/>
      <c r="BD76" s="3"/>
      <c r="BE76" s="3"/>
    </row>
    <row r="77" spans="2:57" ht="12.75" x14ac:dyDescent="0.15">
      <c r="B77" s="146" t="s">
        <v>251</v>
      </c>
      <c r="C77" s="20"/>
      <c r="D77" s="20"/>
      <c r="E77" s="20"/>
      <c r="F77" s="20"/>
      <c r="G77" s="20"/>
      <c r="H77" s="20"/>
      <c r="I77" s="20"/>
      <c r="AO77" s="3"/>
      <c r="AP77" s="3"/>
      <c r="AQ77" s="3"/>
      <c r="AR77" s="3"/>
      <c r="AS77" s="3"/>
      <c r="AT77" s="3"/>
      <c r="AU77" s="3"/>
      <c r="AV77" s="5"/>
      <c r="AW77" s="3"/>
      <c r="AX77" s="3"/>
      <c r="AY77" s="3"/>
      <c r="AZ77" s="3"/>
      <c r="BA77" s="7"/>
      <c r="BB77" s="3"/>
      <c r="BC77" s="3"/>
      <c r="BD77" s="3"/>
      <c r="BE77" s="3"/>
    </row>
    <row r="78" spans="2:57" x14ac:dyDescent="0.15">
      <c r="B78" s="17" t="str">
        <f>LANGUAGE</f>
        <v>English</v>
      </c>
      <c r="C78" s="20"/>
      <c r="D78" s="20"/>
      <c r="E78" s="20"/>
      <c r="F78" s="18">
        <f>Beregninger!I49</f>
        <v>0</v>
      </c>
      <c r="G78" s="20"/>
      <c r="H78" s="20"/>
      <c r="I78" s="18" t="str">
        <f>IF(LANGUAGE="English","Departments","Afdelinger")</f>
        <v>Departments</v>
      </c>
      <c r="M78" s="19" t="str">
        <f>Beregninger!K19</f>
        <v/>
      </c>
      <c r="O78" s="19" t="str">
        <f>IF(LANGUAGE="English","Typee","Typed")</f>
        <v>Typee</v>
      </c>
      <c r="R78" s="19" t="str">
        <f>Valuta!M2</f>
        <v>Set currency rate</v>
      </c>
      <c r="AO78" s="3"/>
      <c r="AP78" s="3"/>
      <c r="AQ78" s="3"/>
      <c r="AR78" s="3"/>
      <c r="AS78" s="3"/>
      <c r="AT78" s="3"/>
      <c r="AU78" s="3"/>
      <c r="AV78" s="5"/>
      <c r="AW78" s="3"/>
      <c r="AX78" s="3"/>
      <c r="AY78" s="3"/>
      <c r="AZ78" s="3"/>
      <c r="BA78" s="7"/>
      <c r="BB78" s="3"/>
      <c r="BC78" s="3"/>
      <c r="BD78" s="3"/>
      <c r="BE78" s="3"/>
    </row>
    <row r="79" spans="2:57" x14ac:dyDescent="0.15">
      <c r="B79" s="20"/>
      <c r="C79" s="20"/>
      <c r="D79" s="20"/>
      <c r="E79" s="20"/>
      <c r="F79" s="20"/>
      <c r="G79" s="20"/>
      <c r="H79" s="20"/>
      <c r="I79" s="20"/>
      <c r="AO79" s="3"/>
      <c r="AP79" s="3"/>
      <c r="AQ79" s="3"/>
      <c r="AR79" s="3"/>
      <c r="AS79" s="3"/>
      <c r="AT79" s="3"/>
      <c r="AU79" s="3"/>
      <c r="AV79" s="5"/>
      <c r="AW79" s="3"/>
      <c r="AX79" s="3"/>
      <c r="AY79" s="3"/>
      <c r="AZ79" s="3"/>
      <c r="BA79" s="7"/>
      <c r="BB79" s="3"/>
      <c r="BC79" s="3"/>
      <c r="BD79" s="3"/>
      <c r="BE79" s="3"/>
    </row>
    <row r="80" spans="2:57" x14ac:dyDescent="0.15">
      <c r="B80" s="19"/>
      <c r="C80" s="19"/>
      <c r="D80" s="19"/>
      <c r="E80" s="19"/>
      <c r="F80" s="19"/>
      <c r="G80" s="20"/>
      <c r="H80" s="20"/>
      <c r="I80" s="20"/>
      <c r="AO80" s="3"/>
      <c r="AP80" s="3"/>
      <c r="AQ80" s="3"/>
      <c r="AR80" s="3"/>
      <c r="AS80" s="3"/>
      <c r="AT80" s="3"/>
      <c r="AU80" s="3"/>
      <c r="AV80" s="5"/>
      <c r="AW80" s="3"/>
      <c r="AX80" s="3"/>
      <c r="AY80" s="3"/>
      <c r="AZ80" s="3"/>
      <c r="BA80" s="7"/>
      <c r="BB80" s="3"/>
      <c r="BC80" s="3"/>
      <c r="BD80" s="3"/>
      <c r="BE80" s="3"/>
    </row>
    <row r="81" spans="2:57" x14ac:dyDescent="0.15">
      <c r="C81" s="19"/>
      <c r="D81" s="19"/>
      <c r="E81" s="19"/>
      <c r="F81" s="19"/>
      <c r="G81" s="20"/>
      <c r="H81" s="20"/>
      <c r="I81" s="20"/>
      <c r="AO81" s="3"/>
      <c r="AP81" s="3"/>
      <c r="AQ81" s="3"/>
      <c r="AR81" s="3"/>
      <c r="AS81" s="3"/>
      <c r="AT81" s="3"/>
      <c r="AU81" s="3"/>
      <c r="AV81" s="5"/>
      <c r="AW81" s="3"/>
      <c r="AX81" s="3"/>
      <c r="AY81" s="3"/>
      <c r="AZ81" s="3"/>
      <c r="BA81" s="7"/>
      <c r="BB81" s="3"/>
      <c r="BC81" s="3"/>
      <c r="BD81" s="3"/>
      <c r="BE81" s="3"/>
    </row>
    <row r="82" spans="2:57" x14ac:dyDescent="0.15">
      <c r="C82" s="19"/>
      <c r="D82" s="19"/>
      <c r="E82" s="19"/>
      <c r="F82" s="19"/>
      <c r="G82" s="20"/>
      <c r="H82" s="20"/>
      <c r="I82" s="20"/>
      <c r="AO82" s="3"/>
      <c r="AP82" s="3"/>
      <c r="AQ82" s="3"/>
      <c r="AR82" s="3"/>
      <c r="AS82" s="3"/>
      <c r="AT82" s="3"/>
      <c r="AU82" s="3"/>
      <c r="AV82" s="5"/>
      <c r="AW82" s="3"/>
      <c r="AX82" s="3"/>
      <c r="AY82" s="3"/>
      <c r="AZ82" s="3"/>
      <c r="BA82" s="7"/>
      <c r="BB82" s="3"/>
      <c r="BC82" s="3"/>
      <c r="BD82" s="3"/>
      <c r="BE82" s="3"/>
    </row>
    <row r="83" spans="2:57" x14ac:dyDescent="0.15">
      <c r="C83" s="19"/>
      <c r="D83" s="19"/>
      <c r="E83" s="19"/>
      <c r="F83" s="19"/>
      <c r="G83" s="20"/>
      <c r="H83" s="20"/>
      <c r="I83" s="20"/>
      <c r="AO83" s="3"/>
      <c r="AP83" s="3"/>
      <c r="AQ83" s="3"/>
      <c r="AR83" s="3"/>
      <c r="AS83" s="3"/>
      <c r="AT83" s="3"/>
      <c r="AU83" s="3"/>
      <c r="AV83" s="5"/>
      <c r="AW83" s="3"/>
      <c r="AX83" s="3"/>
      <c r="AY83" s="3"/>
      <c r="AZ83" s="3"/>
      <c r="BA83" s="7"/>
      <c r="BB83" s="3"/>
      <c r="BC83" s="3"/>
      <c r="BD83" s="3"/>
      <c r="BE83" s="3"/>
    </row>
    <row r="84" spans="2:57" x14ac:dyDescent="0.15">
      <c r="C84" s="19" t="str">
        <f>IF(OR(Beregninger!K18="MI",Beregninger!K18="DI"),"x","")</f>
        <v/>
      </c>
      <c r="D84" s="19"/>
      <c r="E84" s="19"/>
      <c r="F84" s="19"/>
      <c r="G84" s="20"/>
      <c r="H84" s="20"/>
      <c r="I84" s="20"/>
      <c r="AO84" s="3"/>
      <c r="AP84" s="3"/>
      <c r="AQ84" s="3"/>
      <c r="AR84" s="3"/>
      <c r="AS84" s="3"/>
      <c r="AT84" s="3"/>
      <c r="AU84" s="3"/>
      <c r="AV84" s="5"/>
      <c r="AW84" s="3"/>
      <c r="AX84" s="3"/>
      <c r="AY84" s="3"/>
      <c r="AZ84" s="3"/>
      <c r="BA84" s="7"/>
      <c r="BB84" s="3"/>
      <c r="BC84" s="3"/>
      <c r="BD84" s="3"/>
      <c r="BE84" s="3"/>
    </row>
    <row r="85" spans="2:57" x14ac:dyDescent="0.15">
      <c r="C85" s="19"/>
      <c r="D85" s="19"/>
      <c r="E85" s="19"/>
      <c r="F85" s="19"/>
      <c r="G85" s="20"/>
      <c r="H85" s="20"/>
      <c r="I85" s="20"/>
      <c r="AO85" s="3"/>
      <c r="AP85" s="3"/>
      <c r="AQ85" s="3"/>
      <c r="AR85" s="3"/>
      <c r="AS85" s="3"/>
      <c r="AT85" s="3"/>
      <c r="AU85" s="3"/>
      <c r="AV85" s="5"/>
      <c r="AW85" s="3"/>
      <c r="AX85" s="3"/>
      <c r="AY85" s="3"/>
      <c r="AZ85" s="3"/>
      <c r="BA85" s="7"/>
      <c r="BB85" s="3"/>
      <c r="BC85" s="3"/>
      <c r="BD85" s="3"/>
      <c r="BE85" s="3"/>
    </row>
    <row r="86" spans="2:57" x14ac:dyDescent="0.15">
      <c r="C86" s="19"/>
      <c r="D86" s="19"/>
      <c r="E86" s="19"/>
      <c r="F86" s="19"/>
      <c r="G86" s="20"/>
      <c r="H86" s="20"/>
      <c r="I86" s="20"/>
    </row>
    <row r="87" spans="2:57" x14ac:dyDescent="0.15">
      <c r="B87" s="19"/>
      <c r="C87" s="19"/>
      <c r="D87" s="19"/>
      <c r="E87" s="19"/>
      <c r="F87" s="19"/>
      <c r="G87" s="20"/>
      <c r="H87" s="20"/>
      <c r="I87" s="20"/>
    </row>
    <row r="88" spans="2:57" x14ac:dyDescent="0.15">
      <c r="B88" s="19"/>
      <c r="C88" s="19"/>
      <c r="D88" s="19"/>
      <c r="E88" s="19"/>
      <c r="F88" s="19"/>
      <c r="G88" s="20"/>
      <c r="H88" s="20"/>
      <c r="I88" s="20"/>
    </row>
    <row r="89" spans="2:57" x14ac:dyDescent="0.15">
      <c r="B89" s="19"/>
      <c r="C89" s="19"/>
      <c r="D89" s="19"/>
      <c r="E89" s="19"/>
      <c r="F89" s="19"/>
      <c r="G89" s="20"/>
      <c r="H89" s="20"/>
      <c r="I89" s="20"/>
    </row>
    <row r="90" spans="2:57" x14ac:dyDescent="0.15">
      <c r="B90" s="19"/>
      <c r="C90" s="19"/>
      <c r="D90" s="19"/>
      <c r="E90" s="19"/>
      <c r="F90" s="19"/>
      <c r="G90" s="20"/>
      <c r="H90" s="20"/>
      <c r="I90" s="20"/>
    </row>
    <row r="91" spans="2:57" x14ac:dyDescent="0.15">
      <c r="B91" s="20"/>
      <c r="C91" s="20"/>
      <c r="D91" s="20"/>
      <c r="E91" s="20"/>
      <c r="F91" s="20"/>
      <c r="G91" s="20"/>
      <c r="H91" s="20"/>
      <c r="I91" s="20"/>
    </row>
    <row r="92" spans="2:57" x14ac:dyDescent="0.15">
      <c r="B92" s="20"/>
      <c r="C92" s="20"/>
      <c r="D92" s="20"/>
      <c r="E92" s="20"/>
      <c r="F92" s="20"/>
      <c r="G92" s="20"/>
      <c r="H92" s="20"/>
      <c r="I92" s="20"/>
    </row>
    <row r="93" spans="2:57" x14ac:dyDescent="0.15">
      <c r="B93" s="20"/>
      <c r="C93" s="20"/>
      <c r="D93" s="20"/>
      <c r="E93" s="20"/>
      <c r="F93" s="20"/>
      <c r="G93" s="20"/>
      <c r="H93" s="20"/>
      <c r="I93" s="20"/>
    </row>
    <row r="94" spans="2:57" x14ac:dyDescent="0.15">
      <c r="B94" s="20"/>
      <c r="C94" s="20"/>
      <c r="D94" s="20"/>
      <c r="E94" s="20"/>
      <c r="F94" s="20"/>
      <c r="G94" s="20"/>
      <c r="H94" s="20"/>
      <c r="I94" s="20"/>
    </row>
    <row r="95" spans="2:57" x14ac:dyDescent="0.15">
      <c r="B95" s="20"/>
      <c r="C95" s="20"/>
      <c r="D95" s="20"/>
      <c r="E95" s="20"/>
      <c r="F95" s="20"/>
      <c r="G95" s="20"/>
      <c r="H95" s="20"/>
      <c r="I95" s="20"/>
    </row>
    <row r="96" spans="2:57" x14ac:dyDescent="0.15">
      <c r="B96" s="20"/>
      <c r="C96" s="20"/>
      <c r="D96" s="20"/>
      <c r="E96" s="20"/>
      <c r="F96" s="20"/>
      <c r="G96" s="20"/>
      <c r="H96" s="20"/>
      <c r="I96" s="20"/>
    </row>
    <row r="97" spans="2:9" x14ac:dyDescent="0.15">
      <c r="B97" s="20"/>
      <c r="C97" s="20"/>
      <c r="D97" s="20"/>
      <c r="E97" s="20"/>
      <c r="F97" s="20"/>
      <c r="G97" s="20"/>
      <c r="H97" s="20"/>
      <c r="I97" s="20"/>
    </row>
    <row r="98" spans="2:9" x14ac:dyDescent="0.15">
      <c r="B98" s="20"/>
      <c r="C98" s="20"/>
      <c r="D98" s="20"/>
      <c r="E98" s="20"/>
      <c r="F98" s="20"/>
      <c r="G98" s="20"/>
      <c r="H98" s="20"/>
      <c r="I98" s="20"/>
    </row>
    <row r="99" spans="2:9" x14ac:dyDescent="0.15">
      <c r="B99" s="20"/>
      <c r="C99" s="20"/>
      <c r="D99" s="20"/>
      <c r="E99" s="20"/>
      <c r="F99" s="20"/>
      <c r="G99" s="20"/>
      <c r="H99" s="20"/>
      <c r="I99" s="20"/>
    </row>
    <row r="100" spans="2:9" x14ac:dyDescent="0.15">
      <c r="B100" s="20"/>
      <c r="C100" s="20"/>
      <c r="D100" s="20"/>
      <c r="E100" s="20"/>
      <c r="F100" s="20"/>
      <c r="G100" s="20"/>
      <c r="H100" s="20"/>
      <c r="I100" s="20"/>
    </row>
    <row r="101" spans="2:9" x14ac:dyDescent="0.15">
      <c r="B101" s="20"/>
      <c r="C101" s="20"/>
      <c r="D101" s="20"/>
      <c r="E101" s="20"/>
      <c r="F101" s="20"/>
      <c r="G101" s="20"/>
      <c r="H101" s="20"/>
      <c r="I101" s="20"/>
    </row>
    <row r="102" spans="2:9" x14ac:dyDescent="0.15">
      <c r="B102" s="20"/>
      <c r="C102" s="20"/>
      <c r="D102" s="20"/>
      <c r="E102" s="20"/>
      <c r="F102" s="20"/>
      <c r="G102" s="20"/>
      <c r="H102" s="20"/>
      <c r="I102" s="20"/>
    </row>
    <row r="103" spans="2:9" x14ac:dyDescent="0.15">
      <c r="B103" s="20"/>
      <c r="C103" s="20"/>
      <c r="D103" s="20"/>
      <c r="E103" s="20"/>
      <c r="F103" s="20"/>
      <c r="G103" s="20"/>
      <c r="H103" s="20"/>
      <c r="I103" s="20"/>
    </row>
    <row r="104" spans="2:9" x14ac:dyDescent="0.15">
      <c r="B104" s="20"/>
      <c r="C104" s="20"/>
      <c r="D104" s="20"/>
      <c r="E104" s="20"/>
      <c r="F104" s="20"/>
      <c r="G104" s="20"/>
      <c r="H104" s="20"/>
      <c r="I104" s="20"/>
    </row>
    <row r="105" spans="2:9" x14ac:dyDescent="0.15">
      <c r="B105" s="20"/>
      <c r="C105" s="20"/>
      <c r="D105" s="20"/>
      <c r="E105" s="20"/>
      <c r="F105" s="20"/>
      <c r="G105" s="20"/>
      <c r="H105" s="20"/>
      <c r="I105" s="20"/>
    </row>
    <row r="106" spans="2:9" x14ac:dyDescent="0.15">
      <c r="B106" s="20"/>
      <c r="C106" s="20"/>
      <c r="D106" s="20"/>
      <c r="E106" s="20"/>
      <c r="F106" s="20"/>
      <c r="G106" s="20"/>
      <c r="H106" s="20"/>
      <c r="I106" s="20"/>
    </row>
    <row r="107" spans="2:9" x14ac:dyDescent="0.15">
      <c r="B107" s="20"/>
      <c r="C107" s="20"/>
      <c r="D107" s="20"/>
      <c r="E107" s="20"/>
      <c r="F107" s="20"/>
      <c r="G107" s="20"/>
      <c r="H107" s="20"/>
      <c r="I107" s="20"/>
    </row>
    <row r="108" spans="2:9" x14ac:dyDescent="0.15">
      <c r="B108" s="20"/>
      <c r="C108" s="20"/>
      <c r="D108" s="20"/>
      <c r="E108" s="20"/>
      <c r="F108" s="20"/>
      <c r="G108" s="20"/>
      <c r="H108" s="20"/>
      <c r="I108" s="20"/>
    </row>
    <row r="109" spans="2:9" x14ac:dyDescent="0.15">
      <c r="B109" s="20"/>
      <c r="C109" s="20"/>
      <c r="D109" s="20"/>
      <c r="E109" s="20"/>
      <c r="F109" s="20"/>
      <c r="G109" s="20"/>
      <c r="H109" s="20"/>
      <c r="I109" s="20"/>
    </row>
    <row r="110" spans="2:9" x14ac:dyDescent="0.15">
      <c r="B110" s="20"/>
      <c r="C110" s="20"/>
      <c r="D110" s="20"/>
      <c r="E110" s="20"/>
      <c r="F110" s="20"/>
      <c r="G110" s="20"/>
      <c r="H110" s="20"/>
      <c r="I110" s="20"/>
    </row>
  </sheetData>
  <sheetProtection selectLockedCells="1"/>
  <dataConsolidate/>
  <mergeCells count="287">
    <mergeCell ref="Q73:X73"/>
    <mergeCell ref="Q75:X75"/>
    <mergeCell ref="Q76:X76"/>
    <mergeCell ref="J70:P70"/>
    <mergeCell ref="Q74:X74"/>
    <mergeCell ref="J71:P71"/>
    <mergeCell ref="J72:P72"/>
    <mergeCell ref="J73:P73"/>
    <mergeCell ref="J74:P74"/>
    <mergeCell ref="J68:P68"/>
    <mergeCell ref="B73:I73"/>
    <mergeCell ref="B74:I74"/>
    <mergeCell ref="AQ21:AU21"/>
    <mergeCell ref="S42:W42"/>
    <mergeCell ref="AD42:AG42"/>
    <mergeCell ref="S48:W48"/>
    <mergeCell ref="AC46:AG46"/>
    <mergeCell ref="AJ70:AN70"/>
    <mergeCell ref="AJ71:AN71"/>
    <mergeCell ref="AK46:AN46"/>
    <mergeCell ref="N60:O60"/>
    <mergeCell ref="K59:L59"/>
    <mergeCell ref="S50:W50"/>
    <mergeCell ref="B50:R50"/>
    <mergeCell ref="B67:D67"/>
    <mergeCell ref="S54:W54"/>
    <mergeCell ref="B64:C64"/>
    <mergeCell ref="AJ73:AN73"/>
    <mergeCell ref="AJ72:AN72"/>
    <mergeCell ref="AJ47:AN53"/>
    <mergeCell ref="S52:W52"/>
    <mergeCell ref="AJ54:AN56"/>
    <mergeCell ref="Q72:X72"/>
    <mergeCell ref="S53:W53"/>
    <mergeCell ref="AI47:AI53"/>
    <mergeCell ref="N59:O59"/>
    <mergeCell ref="Q2:W2"/>
    <mergeCell ref="AC20:AI20"/>
    <mergeCell ref="AK14:AL14"/>
    <mergeCell ref="S44:W44"/>
    <mergeCell ref="S43:AG43"/>
    <mergeCell ref="AC31:AI31"/>
    <mergeCell ref="X39:AB41"/>
    <mergeCell ref="W10:AA10"/>
    <mergeCell ref="I13:S13"/>
    <mergeCell ref="U23:V23"/>
    <mergeCell ref="AJ31:AN31"/>
    <mergeCell ref="B39:W41"/>
    <mergeCell ref="AD44:AG44"/>
    <mergeCell ref="B42:R42"/>
    <mergeCell ref="S24:W24"/>
    <mergeCell ref="T19:V19"/>
    <mergeCell ref="U21:V21"/>
    <mergeCell ref="S38:W38"/>
    <mergeCell ref="S31:W31"/>
    <mergeCell ref="B5:F5"/>
    <mergeCell ref="W6:AN6"/>
    <mergeCell ref="B1:P1"/>
    <mergeCell ref="B2:P2"/>
    <mergeCell ref="S33:AI33"/>
    <mergeCell ref="I36:Q36"/>
    <mergeCell ref="X28:AB28"/>
    <mergeCell ref="AC26:AI26"/>
    <mergeCell ref="G15:S17"/>
    <mergeCell ref="W64:AN64"/>
    <mergeCell ref="S55:W55"/>
    <mergeCell ref="AD53:AG53"/>
    <mergeCell ref="Y55:AA55"/>
    <mergeCell ref="J35:K35"/>
    <mergeCell ref="AD52:AG52"/>
    <mergeCell ref="Y50:AA50"/>
    <mergeCell ref="X46:AB46"/>
    <mergeCell ref="AD50:AG50"/>
    <mergeCell ref="AD54:AI56"/>
    <mergeCell ref="Y37:AA37"/>
    <mergeCell ref="B46:W46"/>
    <mergeCell ref="Y48:AA48"/>
    <mergeCell ref="AD48:AG48"/>
    <mergeCell ref="AH1:AN1"/>
    <mergeCell ref="X2:AC2"/>
    <mergeCell ref="Y35:AA35"/>
    <mergeCell ref="AA15:AJ15"/>
    <mergeCell ref="AJ20:AM20"/>
    <mergeCell ref="AJ36:AN38"/>
    <mergeCell ref="X20:AB20"/>
    <mergeCell ref="AA19:AB19"/>
    <mergeCell ref="AJ39:AN41"/>
    <mergeCell ref="AE21:AH21"/>
    <mergeCell ref="AC21:AD21"/>
    <mergeCell ref="AF14:AJ14"/>
    <mergeCell ref="AD36:AI38"/>
    <mergeCell ref="AJ35:AM35"/>
    <mergeCell ref="AC17:AJ17"/>
    <mergeCell ref="AK16:AL16"/>
    <mergeCell ref="W15:Z16"/>
    <mergeCell ref="H18:AD18"/>
    <mergeCell ref="AJ32:AN32"/>
    <mergeCell ref="AJ30:AN30"/>
    <mergeCell ref="D26:R26"/>
    <mergeCell ref="AJ26:AN26"/>
    <mergeCell ref="AJ27:AN27"/>
    <mergeCell ref="S36:W36"/>
    <mergeCell ref="S35:W35"/>
    <mergeCell ref="AC39:AG41"/>
    <mergeCell ref="J14:Q14"/>
    <mergeCell ref="AB7:AN7"/>
    <mergeCell ref="AE5:AN5"/>
    <mergeCell ref="AB10:AN10"/>
    <mergeCell ref="B11:V11"/>
    <mergeCell ref="AA13:AJ13"/>
    <mergeCell ref="AA14:AB14"/>
    <mergeCell ref="B8:F8"/>
    <mergeCell ref="AC11:AJ11"/>
    <mergeCell ref="AK11:AN11"/>
    <mergeCell ref="T5:V10"/>
    <mergeCell ref="W5:AD5"/>
    <mergeCell ref="G13:H13"/>
    <mergeCell ref="G8:S8"/>
    <mergeCell ref="G10:S10"/>
    <mergeCell ref="W11:AB11"/>
    <mergeCell ref="W8:AA8"/>
    <mergeCell ref="AB8:AN8"/>
    <mergeCell ref="W9:AA9"/>
    <mergeCell ref="AB9:AN9"/>
    <mergeCell ref="G9:S9"/>
    <mergeCell ref="AK13:AN13"/>
    <mergeCell ref="B10:F10"/>
    <mergeCell ref="B12:AN12"/>
    <mergeCell ref="B36:H38"/>
    <mergeCell ref="I38:Q38"/>
    <mergeCell ref="B35:E35"/>
    <mergeCell ref="S30:W30"/>
    <mergeCell ref="S37:W37"/>
    <mergeCell ref="S26:W26"/>
    <mergeCell ref="B26:C26"/>
    <mergeCell ref="B33:R33"/>
    <mergeCell ref="B34:AN34"/>
    <mergeCell ref="B23:R24"/>
    <mergeCell ref="S25:W25"/>
    <mergeCell ref="S22:W22"/>
    <mergeCell ref="D25:R25"/>
    <mergeCell ref="AC27:AI27"/>
    <mergeCell ref="AC29:AI29"/>
    <mergeCell ref="S27:W27"/>
    <mergeCell ref="S28:W28"/>
    <mergeCell ref="B28:H28"/>
    <mergeCell ref="B15:F17"/>
    <mergeCell ref="AK15:AN15"/>
    <mergeCell ref="AM17:AN17"/>
    <mergeCell ref="AA16:AB16"/>
    <mergeCell ref="Z23:AA23"/>
    <mergeCell ref="AC30:AI30"/>
    <mergeCell ref="X29:AB29"/>
    <mergeCell ref="AC32:AI32"/>
    <mergeCell ref="X31:AB31"/>
    <mergeCell ref="M31:R31"/>
    <mergeCell ref="AK2:AN2"/>
    <mergeCell ref="B3:P3"/>
    <mergeCell ref="B9:F9"/>
    <mergeCell ref="B13:F14"/>
    <mergeCell ref="W7:AA7"/>
    <mergeCell ref="B20:R21"/>
    <mergeCell ref="T13:V17"/>
    <mergeCell ref="W19:X19"/>
    <mergeCell ref="G6:S6"/>
    <mergeCell ref="G7:S7"/>
    <mergeCell ref="W17:Z17"/>
    <mergeCell ref="G14:I14"/>
    <mergeCell ref="W13:Z14"/>
    <mergeCell ref="S20:W20"/>
    <mergeCell ref="Q3:AN3"/>
    <mergeCell ref="B4:AN4"/>
    <mergeCell ref="B6:F6"/>
    <mergeCell ref="B7:F7"/>
    <mergeCell ref="G5:S5"/>
    <mergeCell ref="AF16:AJ16"/>
    <mergeCell ref="AJ29:AN29"/>
    <mergeCell ref="D27:R27"/>
    <mergeCell ref="AJ28:AN28"/>
    <mergeCell ref="AC24:AI24"/>
    <mergeCell ref="AE23:AH23"/>
    <mergeCell ref="X24:AB24"/>
    <mergeCell ref="X22:AB22"/>
    <mergeCell ref="X26:AB26"/>
    <mergeCell ref="I28:R28"/>
    <mergeCell ref="AC28:AI28"/>
    <mergeCell ref="H29:R29"/>
    <mergeCell ref="S29:W29"/>
    <mergeCell ref="B29:G29"/>
    <mergeCell ref="Z21:AA21"/>
    <mergeCell ref="B25:C25"/>
    <mergeCell ref="AJ33:AN33"/>
    <mergeCell ref="F35:I35"/>
    <mergeCell ref="AJ42:AN45"/>
    <mergeCell ref="B47:R49"/>
    <mergeCell ref="Y44:AA44"/>
    <mergeCell ref="Y42:AA42"/>
    <mergeCell ref="AI39:AI45"/>
    <mergeCell ref="S45:AG45"/>
    <mergeCell ref="AJ22:AN24"/>
    <mergeCell ref="X27:AB27"/>
    <mergeCell ref="X25:AB25"/>
    <mergeCell ref="AC25:AI25"/>
    <mergeCell ref="AC22:AI22"/>
    <mergeCell ref="AJ25:AN25"/>
    <mergeCell ref="B27:C27"/>
    <mergeCell ref="M30:R30"/>
    <mergeCell ref="J32:R32"/>
    <mergeCell ref="S32:W32"/>
    <mergeCell ref="B30:F30"/>
    <mergeCell ref="B31:F31"/>
    <mergeCell ref="H31:I31"/>
    <mergeCell ref="X32:AB32"/>
    <mergeCell ref="X30:AB30"/>
    <mergeCell ref="B32:I32"/>
    <mergeCell ref="S51:W51"/>
    <mergeCell ref="S56:W56"/>
    <mergeCell ref="AK60:AN60"/>
    <mergeCell ref="B62:O62"/>
    <mergeCell ref="AJ59:AN59"/>
    <mergeCell ref="M35:R35"/>
    <mergeCell ref="B43:R45"/>
    <mergeCell ref="I37:Q37"/>
    <mergeCell ref="S47:W47"/>
    <mergeCell ref="AC35:AI35"/>
    <mergeCell ref="R36:R38"/>
    <mergeCell ref="AD47:AG47"/>
    <mergeCell ref="AD51:AG51"/>
    <mergeCell ref="S49:W49"/>
    <mergeCell ref="B58:AN58"/>
    <mergeCell ref="AJ57:AN57"/>
    <mergeCell ref="P62:AN62"/>
    <mergeCell ref="S57:AI57"/>
    <mergeCell ref="Y52:AA52"/>
    <mergeCell ref="S59:AI59"/>
    <mergeCell ref="B51:R53"/>
    <mergeCell ref="S60:AI60"/>
    <mergeCell ref="B54:R56"/>
    <mergeCell ref="S61:AI61"/>
    <mergeCell ref="K60:L60"/>
    <mergeCell ref="K61:L61"/>
    <mergeCell ref="K57:P57"/>
    <mergeCell ref="B75:I75"/>
    <mergeCell ref="AJ68:AN68"/>
    <mergeCell ref="AJ69:AN69"/>
    <mergeCell ref="B65:C65"/>
    <mergeCell ref="B76:I76"/>
    <mergeCell ref="Q68:X68"/>
    <mergeCell ref="B69:I69"/>
    <mergeCell ref="B68:I68"/>
    <mergeCell ref="B70:I70"/>
    <mergeCell ref="W65:AN65"/>
    <mergeCell ref="B71:I71"/>
    <mergeCell ref="B72:I72"/>
    <mergeCell ref="J75:P75"/>
    <mergeCell ref="J76:P76"/>
    <mergeCell ref="J69:P69"/>
    <mergeCell ref="AA68:AI68"/>
    <mergeCell ref="AA69:AI69"/>
    <mergeCell ref="AA70:AI70"/>
    <mergeCell ref="AA71:AI71"/>
    <mergeCell ref="AA72:AI72"/>
    <mergeCell ref="AA73:AI73"/>
    <mergeCell ref="Y74:Z74"/>
    <mergeCell ref="Y75:Z75"/>
    <mergeCell ref="Y76:Z76"/>
    <mergeCell ref="B63:AN63"/>
    <mergeCell ref="T65:V65"/>
    <mergeCell ref="AJ61:AN61"/>
    <mergeCell ref="T64:V64"/>
    <mergeCell ref="Y68:Z68"/>
    <mergeCell ref="Y69:Z69"/>
    <mergeCell ref="Y70:Z70"/>
    <mergeCell ref="Y71:Z71"/>
    <mergeCell ref="Y72:Z72"/>
    <mergeCell ref="Y73:Z73"/>
    <mergeCell ref="AA74:AI74"/>
    <mergeCell ref="AA75:AI75"/>
    <mergeCell ref="AA76:AI76"/>
    <mergeCell ref="E65:O65"/>
    <mergeCell ref="Q69:X69"/>
    <mergeCell ref="Q70:X70"/>
    <mergeCell ref="Q71:X71"/>
    <mergeCell ref="AJ76:AN76"/>
    <mergeCell ref="AJ74:AN74"/>
    <mergeCell ref="AJ75:AN75"/>
    <mergeCell ref="E64:O64"/>
  </mergeCells>
  <phoneticPr fontId="0" type="noConversion"/>
  <conditionalFormatting sqref="R14:S14">
    <cfRule type="expression" dxfId="23" priority="34" stopIfTrue="1">
      <formula>$I$14&lt;&gt;"Andet land"</formula>
    </cfRule>
  </conditionalFormatting>
  <conditionalFormatting sqref="J14">
    <cfRule type="expression" dxfId="22" priority="33" stopIfTrue="1">
      <formula>$I$14="Andet land"</formula>
    </cfRule>
  </conditionalFormatting>
  <conditionalFormatting sqref="J35">
    <cfRule type="expression" dxfId="21" priority="20" stopIfTrue="1">
      <formula>($C$84="x")</formula>
    </cfRule>
  </conditionalFormatting>
  <conditionalFormatting sqref="AC17:AJ17">
    <cfRule type="expression" dxfId="20" priority="19" stopIfTrue="1">
      <formula>OR($AC$17="Fejl i indtastning",$AC$17="Input error")</formula>
    </cfRule>
  </conditionalFormatting>
  <conditionalFormatting sqref="AK60:AN60">
    <cfRule type="expression" dxfId="19" priority="45" stopIfTrue="1">
      <formula>#REF!=TRUE</formula>
    </cfRule>
  </conditionalFormatting>
  <conditionalFormatting sqref="AJ60">
    <cfRule type="expression" dxfId="18" priority="46" stopIfTrue="1">
      <formula>#REF!=TRUE</formula>
    </cfRule>
  </conditionalFormatting>
  <conditionalFormatting sqref="AJ25">
    <cfRule type="expression" dxfId="17" priority="18" stopIfTrue="1">
      <formula>$AJ$25="Set currency rate"</formula>
    </cfRule>
  </conditionalFormatting>
  <conditionalFormatting sqref="B2:P2">
    <cfRule type="expression" dxfId="16" priority="17" stopIfTrue="1">
      <formula>$B$2=" &gt; Vælg afdeling / Pick department &lt;"</formula>
    </cfRule>
  </conditionalFormatting>
  <conditionalFormatting sqref="AJ26:AN26">
    <cfRule type="expression" dxfId="15" priority="16" stopIfTrue="1">
      <formula>$AJ$26="Set Currency rate"</formula>
    </cfRule>
  </conditionalFormatting>
  <conditionalFormatting sqref="AJ27:AN27">
    <cfRule type="expression" dxfId="14" priority="15" stopIfTrue="1">
      <formula>$AJ$27="Set currency rate"</formula>
    </cfRule>
  </conditionalFormatting>
  <conditionalFormatting sqref="AJ28">
    <cfRule type="expression" dxfId="13" priority="14" stopIfTrue="1">
      <formula>$AJ$28="Set currency rate"</formula>
    </cfRule>
  </conditionalFormatting>
  <conditionalFormatting sqref="AJ30">
    <cfRule type="expression" dxfId="12" priority="12" stopIfTrue="1">
      <formula>$AJ$30="Set currency rate"</formula>
    </cfRule>
  </conditionalFormatting>
  <conditionalFormatting sqref="AJ31">
    <cfRule type="expression" dxfId="11" priority="11" stopIfTrue="1">
      <formula>$AJ$31="Set currency rate"</formula>
    </cfRule>
  </conditionalFormatting>
  <conditionalFormatting sqref="AJ29:AN29">
    <cfRule type="expression" dxfId="10" priority="10" stopIfTrue="1">
      <formula>$AJ$29="Set currency rate"</formula>
    </cfRule>
  </conditionalFormatting>
  <conditionalFormatting sqref="AJ32:AN32">
    <cfRule type="expression" dxfId="9" priority="9" stopIfTrue="1">
      <formula>$AJ$32="Set currency rate"</formula>
    </cfRule>
  </conditionalFormatting>
  <conditionalFormatting sqref="AK11">
    <cfRule type="expression" dxfId="8" priority="8" stopIfTrue="1">
      <formula>Valuta="Other"</formula>
    </cfRule>
  </conditionalFormatting>
  <conditionalFormatting sqref="E19:AB19">
    <cfRule type="expression" dxfId="7" priority="7" stopIfTrue="1">
      <formula>AND(OR(Valuta=Valuta2,Valuta=Valuta3),Valuta&lt;&gt;"")</formula>
    </cfRule>
  </conditionalFormatting>
  <conditionalFormatting sqref="W7:AN11">
    <cfRule type="expression" dxfId="6" priority="2" stopIfTrue="1">
      <formula>$AK$2="Dansk"</formula>
    </cfRule>
  </conditionalFormatting>
  <conditionalFormatting sqref="H18">
    <cfRule type="expression" dxfId="5" priority="1" stopIfTrue="1">
      <formula>$H$18&lt;&gt;""</formula>
    </cfRule>
  </conditionalFormatting>
  <conditionalFormatting sqref="AK2:AN2">
    <cfRule type="expression" dxfId="4" priority="47" stopIfTrue="1">
      <formula>$B$78="Vælg / Pick"</formula>
    </cfRule>
  </conditionalFormatting>
  <conditionalFormatting sqref="AJ36:AN38">
    <cfRule type="expression" dxfId="3" priority="48" stopIfTrue="1">
      <formula>$AJ$36=$R$78</formula>
    </cfRule>
  </conditionalFormatting>
  <conditionalFormatting sqref="AJ39:AN41">
    <cfRule type="expression" dxfId="2" priority="49" stopIfTrue="1">
      <formula>$AJ$39=$R$78</formula>
    </cfRule>
  </conditionalFormatting>
  <conditionalFormatting sqref="AK46:AN46">
    <cfRule type="expression" dxfId="1" priority="50" stopIfTrue="1">
      <formula>$AK$46=$R$78</formula>
    </cfRule>
  </conditionalFormatting>
  <conditionalFormatting sqref="AJ54:AN56">
    <cfRule type="expression" dxfId="0" priority="51" stopIfTrue="1">
      <formula>$AJ$54=$R$78</formula>
    </cfRule>
  </conditionalFormatting>
  <dataValidations count="16">
    <dataValidation type="whole" allowBlank="1" showInputMessage="1" showErrorMessage="1" errorTitle="Fejl i indtastning" error="Der kan højst udbetales fulde dagpenge svarende til det antal døgn, som er angivet i rejsens varighed._x000a__x000a_OBS! Afrejse og hjemkomst skal være udfyldt med både dato og klokkeslæt." sqref="S42">
      <formula1>0</formula1>
      <formula2>IF(OR(AC17="",AM17=""),0,MAX(AC17,0))</formula2>
    </dataValidation>
    <dataValidation type="custom" allowBlank="1" showErrorMessage="1" errorTitle="Fejl i indtastning" error="Der kan højst udbetales fulde dagpenge svarende til det antal døgn, som er angivet i rejsens varighed._x000a__x000a_OBS: Der udbetales ikke time/dagepenge for rejser under 24 timer" prompt="Bemærk der udbetales kun time/dagepenge for rejser over 24 timer" sqref="T44:W44">
      <formula1>IF(OR(AF17="",AN17="",T42=0),"",IF(MAX(AF17,0)=0,0,MAX(AN17,0)))</formula1>
    </dataValidation>
    <dataValidation type="custom" allowBlank="1" showErrorMessage="1" errorTitle="Fejl i indtastning" error="Der kan højst udbetales fulde dagpenge svarende til det antal døgn, som er angivet i rejsens varighed._x000a__x000a_OBS: Der udbetales ikke time/dagepenge for rejser under 24 timer" prompt="Bemærk der udbetales kun time/dagepenge for rejser over 24 timer" sqref="S44">
      <formula1>IF(OR(AC17="",AM17="",S42=0),"",IF(MAX(AC17,0)=0,0,MAX(AM17,0)))</formula1>
    </dataValidation>
    <dataValidation allowBlank="1" showInputMessage="1" showErrorMessage="1" prompt="Fx. EUR or USD" sqref="AK11"/>
    <dataValidation type="list" allowBlank="1" showInputMessage="1" showErrorMessage="1" sqref="AA14:AB14 AA16:AB16">
      <formula1>"01,02,03,04,05,06,07,08,09,10,11,12,13,14,15,16,17,18,19,20,21,22,23,24,25,26,27,28,29,30,31"</formula1>
    </dataValidation>
    <dataValidation type="list" allowBlank="1" showInputMessage="1" showErrorMessage="1" sqref="AD14 AD16">
      <formula1>"01,02,03,04,05,06,07,08,09,10,11,12"</formula1>
    </dataValidation>
    <dataValidation type="list" allowBlank="1" showInputMessage="1" showErrorMessage="1" sqref="AF16:AJ16 AF14:AJ14">
      <formula1>"2017,2018,2019,2020,2021"</formula1>
    </dataValidation>
    <dataValidation type="list" allowBlank="1" showInputMessage="1" showErrorMessage="1" sqref="AK14:AL14 AK16:AL16">
      <formula1>"00,01,02,03,04,05,06,07,08,09,10,11,12,13,14,15,16,17,18,19,20,21,22,23"</formula1>
    </dataValidation>
    <dataValidation type="list" allowBlank="1" showInputMessage="1" showErrorMessage="1" sqref="AN14 AN16">
      <formula1>"00,01,02,03,04,05,06,07,08,09,10,11,12,13,14,15,16,17,18,19,20,21,22,23,24,25,26,27,28,29,30,31,32,33,34,35,36,37,38,39,40,41,42,43,44,45,46,47,48,49,50,51,52,53,54,55,56,57,58,59"</formula1>
    </dataValidation>
    <dataValidation type="list" allowBlank="1" showInputMessage="1" showErrorMessage="1" sqref="AK2:AN2">
      <formula1>Sprog</formula1>
    </dataValidation>
    <dataValidation type="list" allowBlank="1" showInputMessage="1" showErrorMessage="1" prompt="Fx. EUR or USD" sqref="AC11">
      <formula1>Vtyper</formula1>
    </dataValidation>
    <dataValidation type="list" allowBlank="1" errorTitle="Fejl i indtastning" error="Vælg rejsemålets land i listen._x000a__x000a_Hvis landet ikke findes i listen, så vælg 'Andet land' og angiv landet i cellen til højre." promptTitle="Angiv rejsemålets land" prompt="Vælg rejsemålets land i listen._x000a__x000a_Hvis landet ikke findes i listen, så vælg 'Andet land' og angiv landet i cellen til højre." sqref="J14:Q14">
      <formula1>INDIRECT(LANGUAGE)</formula1>
    </dataValidation>
    <dataValidation type="list" allowBlank="1" showInputMessage="1" showErrorMessage="1" sqref="Z21:AA21 AE21:AH21">
      <formula1>Vtyper</formula1>
    </dataValidation>
    <dataValidation type="list" allowBlank="1" showDropDown="1" showInputMessage="1" showErrorMessage="1" sqref="U21:V21">
      <formula1>"DKK"</formula1>
    </dataValidation>
    <dataValidation type="whole" allowBlank="1" showInputMessage="1" showErrorMessage="1" sqref="U23:V23">
      <formula1>100</formula1>
      <formula2>100</formula2>
    </dataValidation>
    <dataValidation type="list" allowBlank="1" showInputMessage="1" showErrorMessage="1" sqref="X2">
      <formula1>INDIRECT($O$78)</formula1>
    </dataValidation>
  </dataValidations>
  <pageMargins left="0.39370078740157483" right="0.19685039370078741" top="0.39370078740157483" bottom="0.39370078740157483" header="0" footer="0"/>
  <pageSetup paperSize="9" scale="62" orientation="portrait" r:id="rId1"/>
  <headerFooter alignWithMargins="0">
    <oddHeader xml:space="preserve">&amp;L  </oddHeader>
    <oddFooter xml:space="preserve">&amp;C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55" r:id="rId4" name="Check Box 183">
              <controlPr locked="0" defaultSize="0" autoFill="0" autoLine="0" autoPict="0">
                <anchor moveWithCells="1">
                  <from>
                    <xdr:col>5</xdr:col>
                    <xdr:colOff>142875</xdr:colOff>
                    <xdr:row>29</xdr:row>
                    <xdr:rowOff>28575</xdr:rowOff>
                  </from>
                  <to>
                    <xdr:col>7</xdr:col>
                    <xdr:colOff>76200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5" name="Check Box 406">
              <controlPr locked="0" defaultSize="0" autoFill="0" autoLine="0" autoPict="0">
                <anchor moveWithCells="1">
                  <from>
                    <xdr:col>8</xdr:col>
                    <xdr:colOff>361950</xdr:colOff>
                    <xdr:row>29</xdr:row>
                    <xdr:rowOff>28575</xdr:rowOff>
                  </from>
                  <to>
                    <xdr:col>10</xdr:col>
                    <xdr:colOff>114300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1" r:id="rId6" name="Check Box 16361">
              <controlPr locked="0" defaultSize="0" autoFill="0" autoLine="0" autoPict="0">
                <anchor moveWithCells="1">
                  <from>
                    <xdr:col>5</xdr:col>
                    <xdr:colOff>142875</xdr:colOff>
                    <xdr:row>30</xdr:row>
                    <xdr:rowOff>28575</xdr:rowOff>
                  </from>
                  <to>
                    <xdr:col>7</xdr:col>
                    <xdr:colOff>76200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7" name="Check Box 16399">
              <controlPr locked="0" defaultSize="0" autoFill="0" autoLine="0" autoPict="0">
                <anchor moveWithCells="1">
                  <from>
                    <xdr:col>8</xdr:col>
                    <xdr:colOff>361950</xdr:colOff>
                    <xdr:row>30</xdr:row>
                    <xdr:rowOff>28575</xdr:rowOff>
                  </from>
                  <to>
                    <xdr:col>10</xdr:col>
                    <xdr:colOff>114300</xdr:colOff>
                    <xdr:row>30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M36"/>
  <sheetViews>
    <sheetView workbookViewId="0">
      <selection activeCell="M5" sqref="M5"/>
    </sheetView>
  </sheetViews>
  <sheetFormatPr defaultRowHeight="17.25" customHeight="1" x14ac:dyDescent="0.15"/>
  <cols>
    <col min="9" max="9" width="11.85546875" customWidth="1"/>
  </cols>
  <sheetData>
    <row r="2" spans="2:13" ht="17.25" customHeight="1" x14ac:dyDescent="0.15">
      <c r="K2" s="7" t="s">
        <v>195</v>
      </c>
      <c r="M2" t="str">
        <f>IF(LANGUAGE="English",K3,K2)</f>
        <v>Set currency rate</v>
      </c>
    </row>
    <row r="3" spans="2:13" ht="17.25" customHeight="1" x14ac:dyDescent="0.15">
      <c r="B3" t="s">
        <v>208</v>
      </c>
      <c r="D3" s="7" t="s">
        <v>196</v>
      </c>
      <c r="K3" s="7" t="s">
        <v>238</v>
      </c>
    </row>
    <row r="4" spans="2:13" ht="17.25" customHeight="1" x14ac:dyDescent="0.15">
      <c r="D4" s="130"/>
      <c r="E4" s="131"/>
      <c r="F4" s="131"/>
      <c r="G4" s="132" t="s">
        <v>186</v>
      </c>
      <c r="H4" s="131"/>
      <c r="I4" s="133" t="s">
        <v>186</v>
      </c>
      <c r="L4" s="7" t="s">
        <v>197</v>
      </c>
      <c r="M4" s="7" t="s">
        <v>198</v>
      </c>
    </row>
    <row r="5" spans="2:13" ht="17.25" customHeight="1" x14ac:dyDescent="0.15">
      <c r="B5" s="7" t="s">
        <v>10</v>
      </c>
      <c r="D5" s="134" t="s">
        <v>184</v>
      </c>
      <c r="E5" s="135" t="str">
        <f>IF(AND(Valuta=Valuta2,Valuta&lt;&gt;""),"TRUE","FALSE")</f>
        <v>FALSE</v>
      </c>
      <c r="F5" s="135"/>
      <c r="G5" s="135">
        <f>IF(E5="TRUE",kurs1/100,1)</f>
        <v>1</v>
      </c>
      <c r="H5" s="135"/>
      <c r="I5" s="136">
        <f>IF(AND(G5=1,G6=1),1,IF(Valuta2=Valuta3,G5,G5+G6-1))</f>
        <v>1</v>
      </c>
      <c r="K5" t="s">
        <v>187</v>
      </c>
      <c r="L5">
        <f>SUM('Rejseafregning '!S25/100*'Rejseafregning '!$U$23,kurs1/100*'Rejseafregning '!X25,kurs2/100*'Rejseafregning '!AC25)/$I$5</f>
        <v>0</v>
      </c>
      <c r="M5" s="7">
        <f>IF(ISERROR(L5),$M$2,L5)</f>
        <v>0</v>
      </c>
    </row>
    <row r="6" spans="2:13" ht="17.25" customHeight="1" x14ac:dyDescent="0.15">
      <c r="B6" s="7" t="s">
        <v>203</v>
      </c>
      <c r="D6" s="134" t="s">
        <v>185</v>
      </c>
      <c r="E6" s="135" t="str">
        <f>IF(AND(Valuta=Valuta3,Valuta&lt;&gt;""),"TRUE","FALSE")</f>
        <v>FALSE</v>
      </c>
      <c r="F6" s="135"/>
      <c r="G6" s="135">
        <f>IF(E6="TRUE",kurs2/100,1)</f>
        <v>1</v>
      </c>
      <c r="H6" s="135"/>
      <c r="I6" s="136"/>
      <c r="K6" t="s">
        <v>188</v>
      </c>
      <c r="L6">
        <f>SUM('Rejseafregning '!S26/100*'Rejseafregning '!$U$23,kurs1/100*'Rejseafregning '!X26,kurs2/100*'Rejseafregning '!AC26)/$I$5</f>
        <v>0</v>
      </c>
      <c r="M6" s="7">
        <f t="shared" ref="M6:M16" si="0">IF(ISERROR(L6),$M$2,L6)</f>
        <v>0</v>
      </c>
    </row>
    <row r="7" spans="2:13" ht="17.25" customHeight="1" x14ac:dyDescent="0.15">
      <c r="B7" s="7" t="s">
        <v>202</v>
      </c>
      <c r="D7" s="137"/>
      <c r="E7" s="138"/>
      <c r="F7" s="138"/>
      <c r="G7" s="138"/>
      <c r="H7" s="138"/>
      <c r="I7" s="139"/>
      <c r="K7" t="s">
        <v>189</v>
      </c>
      <c r="L7">
        <f>SUM('Rejseafregning '!S27/100*'Rejseafregning '!$U$23,kurs1/100*'Rejseafregning '!X27,kurs2/100*'Rejseafregning '!AC27)/$I$5</f>
        <v>0</v>
      </c>
      <c r="M7" s="7">
        <f t="shared" si="0"/>
        <v>0</v>
      </c>
    </row>
    <row r="8" spans="2:13" ht="17.25" customHeight="1" x14ac:dyDescent="0.15">
      <c r="B8" s="7" t="s">
        <v>201</v>
      </c>
      <c r="K8" t="s">
        <v>190</v>
      </c>
      <c r="L8">
        <f>SUM('Rejseafregning '!S28/100*'Rejseafregning '!$U$23,kurs1/100*'Rejseafregning '!X28,kurs2/100*'Rejseafregning '!AC28)/$I$5</f>
        <v>0</v>
      </c>
      <c r="M8" s="7">
        <f t="shared" si="0"/>
        <v>0</v>
      </c>
    </row>
    <row r="9" spans="2:13" ht="17.25" customHeight="1" x14ac:dyDescent="0.15">
      <c r="B9" s="7" t="s">
        <v>199</v>
      </c>
      <c r="K9" t="s">
        <v>191</v>
      </c>
      <c r="L9">
        <f>SUM('Rejseafregning '!S29/100*'Rejseafregning '!$U$23,kurs1/100*'Rejseafregning '!X29,kurs2/100*'Rejseafregning '!AC29)/$I$5</f>
        <v>0</v>
      </c>
      <c r="M9" s="7">
        <f t="shared" si="0"/>
        <v>0</v>
      </c>
    </row>
    <row r="10" spans="2:13" ht="17.25" customHeight="1" x14ac:dyDescent="0.15">
      <c r="B10" s="7" t="s">
        <v>200</v>
      </c>
      <c r="K10" t="s">
        <v>192</v>
      </c>
      <c r="L10">
        <f>SUM('Rejseafregning '!S30/100*'Rejseafregning '!$U$23,kurs1/100*'Rejseafregning '!X30,kurs2/100*'Rejseafregning '!AC30)/$I$5</f>
        <v>0</v>
      </c>
      <c r="M10" s="7">
        <f t="shared" si="0"/>
        <v>0</v>
      </c>
    </row>
    <row r="11" spans="2:13" ht="17.25" customHeight="1" x14ac:dyDescent="0.15">
      <c r="B11" s="7" t="s">
        <v>209</v>
      </c>
      <c r="K11" t="s">
        <v>193</v>
      </c>
      <c r="L11">
        <f>SUM('Rejseafregning '!S31/100*'Rejseafregning '!$U$23,kurs1/100*'Rejseafregning '!X31,kurs2/100*'Rejseafregning '!AC31)/$I$5</f>
        <v>0</v>
      </c>
      <c r="M11" s="7">
        <f t="shared" si="0"/>
        <v>0</v>
      </c>
    </row>
    <row r="12" spans="2:13" ht="17.25" customHeight="1" x14ac:dyDescent="0.15">
      <c r="B12" s="7" t="s">
        <v>210</v>
      </c>
      <c r="K12" t="s">
        <v>194</v>
      </c>
      <c r="L12">
        <f>SUM('Rejseafregning '!S32/100*'Rejseafregning '!$U$23,kurs1/100*'Rejseafregning '!X32,kurs2/100*'Rejseafregning '!AC32)/$I$5</f>
        <v>0</v>
      </c>
      <c r="M12" s="7">
        <f t="shared" si="0"/>
        <v>0</v>
      </c>
    </row>
    <row r="13" spans="2:13" ht="17.25" customHeight="1" x14ac:dyDescent="0.15">
      <c r="B13" s="7" t="s">
        <v>211</v>
      </c>
      <c r="K13" t="s">
        <v>204</v>
      </c>
      <c r="L13" t="str">
        <f>IF(OR('Rejseafregning '!S37="",'Rejseafregning '!Y37=""),"",('Rejseafregning '!S37*'Rejseafregning '!Y37)/$I$5)</f>
        <v/>
      </c>
      <c r="M13" s="7" t="str">
        <f t="shared" si="0"/>
        <v/>
      </c>
    </row>
    <row r="14" spans="2:13" ht="17.25" customHeight="1" x14ac:dyDescent="0.15">
      <c r="B14" s="7" t="s">
        <v>212</v>
      </c>
      <c r="K14" t="s">
        <v>205</v>
      </c>
      <c r="L14" s="16">
        <f>SUM('Rejseafregning '!AD42:AD44)/$I$5</f>
        <v>0</v>
      </c>
      <c r="M14" s="7">
        <f t="shared" si="0"/>
        <v>0</v>
      </c>
    </row>
    <row r="15" spans="2:13" ht="17.25" customHeight="1" x14ac:dyDescent="0.15">
      <c r="B15" s="7" t="s">
        <v>213</v>
      </c>
      <c r="K15" t="s">
        <v>206</v>
      </c>
      <c r="L15" s="16">
        <f>SUM('Rejseafregning '!AD48:AD52)/$I$5</f>
        <v>0</v>
      </c>
      <c r="M15" s="7">
        <f t="shared" si="0"/>
        <v>0</v>
      </c>
    </row>
    <row r="16" spans="2:13" ht="17.25" customHeight="1" x14ac:dyDescent="0.15">
      <c r="B16" s="7" t="s">
        <v>214</v>
      </c>
      <c r="K16" t="s">
        <v>207</v>
      </c>
      <c r="L16">
        <f>('Rejseafregning '!S55*'Rejseafregning '!Y55)/Valuta!$I$5</f>
        <v>0</v>
      </c>
      <c r="M16" s="7">
        <f t="shared" si="0"/>
        <v>0</v>
      </c>
    </row>
    <row r="17" spans="2:2" ht="17.25" customHeight="1" x14ac:dyDescent="0.15">
      <c r="B17" s="7" t="s">
        <v>215</v>
      </c>
    </row>
    <row r="18" spans="2:2" ht="17.25" customHeight="1" x14ac:dyDescent="0.15">
      <c r="B18" s="7" t="s">
        <v>216</v>
      </c>
    </row>
    <row r="19" spans="2:2" ht="17.25" customHeight="1" x14ac:dyDescent="0.15">
      <c r="B19" s="7" t="s">
        <v>217</v>
      </c>
    </row>
    <row r="20" spans="2:2" ht="17.25" customHeight="1" x14ac:dyDescent="0.15">
      <c r="B20" s="7" t="s">
        <v>218</v>
      </c>
    </row>
    <row r="21" spans="2:2" ht="17.25" customHeight="1" x14ac:dyDescent="0.15">
      <c r="B21" s="7" t="s">
        <v>219</v>
      </c>
    </row>
    <row r="22" spans="2:2" ht="17.25" customHeight="1" x14ac:dyDescent="0.15">
      <c r="B22" s="7" t="s">
        <v>220</v>
      </c>
    </row>
    <row r="23" spans="2:2" ht="17.25" customHeight="1" x14ac:dyDescent="0.15">
      <c r="B23" s="7" t="s">
        <v>221</v>
      </c>
    </row>
    <row r="24" spans="2:2" ht="17.25" customHeight="1" x14ac:dyDescent="0.15">
      <c r="B24" s="7" t="s">
        <v>222</v>
      </c>
    </row>
    <row r="25" spans="2:2" ht="17.25" customHeight="1" x14ac:dyDescent="0.15">
      <c r="B25" s="7" t="s">
        <v>223</v>
      </c>
    </row>
    <row r="26" spans="2:2" ht="17.25" customHeight="1" x14ac:dyDescent="0.15">
      <c r="B26" s="7" t="s">
        <v>224</v>
      </c>
    </row>
    <row r="27" spans="2:2" ht="17.25" customHeight="1" x14ac:dyDescent="0.15">
      <c r="B27" s="7" t="s">
        <v>225</v>
      </c>
    </row>
    <row r="28" spans="2:2" ht="17.25" customHeight="1" x14ac:dyDescent="0.15">
      <c r="B28" s="7" t="s">
        <v>226</v>
      </c>
    </row>
    <row r="29" spans="2:2" ht="17.25" customHeight="1" x14ac:dyDescent="0.15">
      <c r="B29" s="7" t="s">
        <v>227</v>
      </c>
    </row>
    <row r="30" spans="2:2" ht="17.25" customHeight="1" x14ac:dyDescent="0.15">
      <c r="B30" s="7" t="s">
        <v>228</v>
      </c>
    </row>
    <row r="31" spans="2:2" ht="17.25" customHeight="1" x14ac:dyDescent="0.15">
      <c r="B31" s="7" t="s">
        <v>229</v>
      </c>
    </row>
    <row r="32" spans="2:2" ht="17.25" customHeight="1" x14ac:dyDescent="0.15">
      <c r="B32" s="7" t="s">
        <v>230</v>
      </c>
    </row>
    <row r="33" spans="2:2" ht="17.25" customHeight="1" x14ac:dyDescent="0.15">
      <c r="B33" s="7" t="s">
        <v>231</v>
      </c>
    </row>
    <row r="34" spans="2:2" ht="17.25" customHeight="1" x14ac:dyDescent="0.15">
      <c r="B34" s="7" t="s">
        <v>232</v>
      </c>
    </row>
    <row r="35" spans="2:2" ht="17.25" customHeight="1" x14ac:dyDescent="0.15">
      <c r="B35" s="7" t="s">
        <v>233</v>
      </c>
    </row>
    <row r="36" spans="2:2" ht="17.25" customHeight="1" x14ac:dyDescent="0.15">
      <c r="B36" s="7" t="s">
        <v>234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127"/>
  <sheetViews>
    <sheetView topLeftCell="A25" workbookViewId="0">
      <selection activeCell="I55" sqref="I55:P66"/>
    </sheetView>
  </sheetViews>
  <sheetFormatPr defaultRowHeight="15" customHeight="1" x14ac:dyDescent="0.15"/>
  <sheetData>
    <row r="1" spans="2:15" ht="15" customHeight="1" x14ac:dyDescent="0.15">
      <c r="B1" s="7" t="s">
        <v>168</v>
      </c>
      <c r="E1" t="str">
        <f>IF(LANGUAGE="English","faculty","Fakultetet")</f>
        <v>faculty</v>
      </c>
      <c r="H1" s="7" t="s">
        <v>243</v>
      </c>
      <c r="J1" t="str">
        <f>IF(AND(SUM('Rejseafregning '!X25:AC32)&lt;&gt;0,kurs1="",kurs2=""),H2,"")</f>
        <v/>
      </c>
    </row>
    <row r="2" spans="2:15" ht="15" customHeight="1" x14ac:dyDescent="0.15">
      <c r="B2" t="s">
        <v>157</v>
      </c>
      <c r="E2" t="str">
        <f>IF(LANGUAGE="English","department","Instituttet")</f>
        <v>department</v>
      </c>
      <c r="H2" s="7" t="str">
        <f>IF(LANGUAGE="English","Notice: expenses i non-danish currency is not calculated without exchange rate","Bemærk: udgifter i fremmed valuta medregnes ikke uden kurs sats")</f>
        <v>Notice: expenses i non-danish currency is not calculated without exchange rate</v>
      </c>
    </row>
    <row r="3" spans="2:15" ht="15" customHeight="1" x14ac:dyDescent="0.15">
      <c r="B3" t="s">
        <v>158</v>
      </c>
      <c r="H3" s="77"/>
    </row>
    <row r="5" spans="2:15" ht="15" customHeight="1" x14ac:dyDescent="0.15">
      <c r="K5" s="7" t="s">
        <v>153</v>
      </c>
    </row>
    <row r="6" spans="2:15" ht="15" customHeight="1" x14ac:dyDescent="0.15">
      <c r="B6" s="7" t="s">
        <v>245</v>
      </c>
      <c r="C6" s="8">
        <f>IF(OR(AND(Valuta&lt;&gt;Valuta2,Valuta&lt;&gt;Valuta3),Valuta="",AND(kurs1="",kurs2="",)),1,IF(Valuta2=Valuta,kurs1,kurs2))</f>
        <v>1</v>
      </c>
      <c r="D6" s="7">
        <f>IF(C6=1,1,C6/100)</f>
        <v>1</v>
      </c>
      <c r="E6" s="9"/>
      <c r="F6" s="9">
        <v>1</v>
      </c>
      <c r="G6" s="8">
        <v>2</v>
      </c>
      <c r="O6" t="s">
        <v>156</v>
      </c>
    </row>
    <row r="7" spans="2:15" ht="15" customHeight="1" x14ac:dyDescent="0.15">
      <c r="C7" s="13" t="str">
        <f>IF(H33="FALSE","",IF(AND('Rejseafregning '!$AJ$25="",'Rejseafregning '!$AJ$26="",'Rejseafregning '!$AJ$27="",'Rejseafregning '!$AJ$28=""),"",IF(OR(Nation="Danmark",Nation="Denmark",Nation=""),3215,3214)))</f>
        <v/>
      </c>
      <c r="D7" s="13" t="str">
        <f t="array" aca="1" ref="D7" ca="1">IF(ROW()-ROW(NOBLANKSRANGE)+1&gt;ROWS(Blanksrange)-COUNTBLANK(Blanksrange),"",INDIRECT(ADDRESS(SMALL((IF(Blanksrange&lt;&gt;"",ROW(Blanksrange),ROW()+ROWS(Blanksrange))),ROW()-ROW(NOBLANKSRANGE)+1),COLUMN(Blanksrange),4)))</f>
        <v/>
      </c>
      <c r="E7" s="14">
        <f>IF(OR(Nation="DANMARK",Nation="Denmark",Nation=""),3215,3214)</f>
        <v>3215</v>
      </c>
      <c r="F7" s="15" t="str">
        <f>IF(SUM('Rejseafregning '!$AJ$25:$AN$28)=0,"",SUM('Rejseafregning '!$AJ$25:$AN$28))</f>
        <v/>
      </c>
      <c r="G7" s="15" t="str">
        <f>IF($H$33="FALSE","",F7)</f>
        <v/>
      </c>
      <c r="K7" s="3" t="str">
        <f ca="1">D7</f>
        <v/>
      </c>
      <c r="L7" t="str">
        <f ca="1">IF(OR($K7="3213-d",$K7="3213-u"),3213,IF(OR($K7="3212-d",$K7="3212-u"),3212,IF(OR($K7="3222-m",$K7="3222-u"),3222,$K7)))</f>
        <v/>
      </c>
      <c r="M7">
        <f t="shared" ref="M7:M14" ca="1" si="0">IF(OR($K7="3222-u",$K7="3222-m"),"",IF($K7="3213-d",12,IF($K7=" ","",IF(AND($K7&lt;&gt;"3222-m",$K7&lt;&gt;"3222-u"),IF($K7=6710,0,10),10))))</f>
        <v>10</v>
      </c>
      <c r="O7" s="16" t="str">
        <f>IF(ISERROR(ROUND(A,2)),"",ROUND(A,2))</f>
        <v/>
      </c>
    </row>
    <row r="8" spans="2:15" ht="15" customHeight="1" x14ac:dyDescent="0.15">
      <c r="C8" s="13" t="str">
        <f>IF(H33="FALSE","",IF(F="","",IF(OR(Nation="Danmark",Nation="Denmark"),"3213-d","3212-d")))</f>
        <v/>
      </c>
      <c r="D8" s="13" t="str">
        <f t="array" aca="1" ref="D8" ca="1">IF(ROW()-ROW(NOBLANKSRANGE)+1&gt;ROWS(Blanksrange)-COUNTBLANK(Blanksrange),"",INDIRECT(ADDRESS(SMALL((IF(Blanksrange&lt;&gt;"",ROW(Blanksrange),ROW()+ROWS(Blanksrange))),ROW()-ROW(NOBLANKSRANGE)+1),COLUMN(Blanksrange),4)))</f>
        <v/>
      </c>
      <c r="E8" s="14" t="str">
        <f>$C$8</f>
        <v/>
      </c>
      <c r="F8" s="15" t="str">
        <f>IF('Rejseafregning '!$AJ$30=0,"",'Rejseafregning '!$AJ$30)</f>
        <v/>
      </c>
      <c r="G8" s="15" t="str">
        <f t="shared" ref="G8:G13" si="1">IF($H$33="FALSE","",F8)</f>
        <v/>
      </c>
      <c r="K8" s="3" t="str">
        <f t="shared" ref="K8:K14" ca="1" si="2">D8</f>
        <v/>
      </c>
      <c r="L8" t="str">
        <f t="shared" ref="L8:L14" ca="1" si="3">IF(OR($K8="3213-d",$K8="3213-u"),3213,IF(OR($K8="3212-d",$K8="3212-u"),3212,IF(OR($K8="3222-m",$K8="3222-u"),3222,$K8)))</f>
        <v/>
      </c>
      <c r="M8">
        <f t="shared" ca="1" si="0"/>
        <v>10</v>
      </c>
      <c r="O8" s="16" t="str">
        <f>IF(ISERROR(ROUND(B,2)),"",ROUND(B,2))</f>
        <v/>
      </c>
    </row>
    <row r="9" spans="2:15" ht="15" customHeight="1" x14ac:dyDescent="0.15">
      <c r="C9" s="13" t="str">
        <f>IF(H33="FALSE","",IF('Rejseafregning '!$AJ$31="","",IF(OR(Nation="Danmark",Nation="Denmark"),"3213-u","3212-u")))</f>
        <v/>
      </c>
      <c r="D9" s="13" t="str">
        <f t="array" aca="1" ref="D9" ca="1">IF(ROW()-ROW(NOBLANKSRANGE)+1&gt;ROWS(Blanksrange)-COUNTBLANK(Blanksrange),"",INDIRECT(ADDRESS(SMALL((IF(Blanksrange&lt;&gt;"",ROW(Blanksrange),ROW()+ROWS(Blanksrange))),ROW()-ROW(NOBLANKSRANGE)+1),COLUMN(Blanksrange),4)))</f>
        <v/>
      </c>
      <c r="E9" s="14" t="str">
        <f>$C$9</f>
        <v/>
      </c>
      <c r="F9" s="15" t="str">
        <f>IF('Rejseafregning '!$AJ$31=0,"",'Rejseafregning '!$AJ$31)</f>
        <v/>
      </c>
      <c r="G9" s="15" t="str">
        <f t="shared" si="1"/>
        <v/>
      </c>
      <c r="K9" s="3" t="str">
        <f t="shared" ca="1" si="2"/>
        <v/>
      </c>
      <c r="L9" t="str">
        <f t="shared" ca="1" si="3"/>
        <v/>
      </c>
      <c r="M9">
        <f t="shared" ca="1" si="0"/>
        <v>10</v>
      </c>
      <c r="O9" s="16" t="str">
        <f>IF(ISERROR(ROUND(Cr,2)),"",ROUND(Cr,2))</f>
        <v/>
      </c>
    </row>
    <row r="10" spans="2:15" ht="15" customHeight="1" x14ac:dyDescent="0.15">
      <c r="C10" s="13" t="str">
        <f>IF(H33="FALSE","",IF('Rejseafregning '!$AJ$57="","",3211))</f>
        <v/>
      </c>
      <c r="D10" s="13" t="str">
        <f t="array" aca="1" ref="D10" ca="1">IF(ROW()-ROW(NOBLANKSRANGE)+1&gt;ROWS(Blanksrange)-COUNTBLANK(Blanksrange),"",INDIRECT(ADDRESS(SMALL((IF(Blanksrange&lt;&gt;"",ROW(Blanksrange),ROW()+ROWS(Blanksrange))),ROW()-ROW(NOBLANKSRANGE)+1),COLUMN(Blanksrange),4)))</f>
        <v/>
      </c>
      <c r="E10" s="14">
        <v>3211</v>
      </c>
      <c r="F10" s="15" t="str">
        <f>IF('Rejseafregning '!$AJ$57=0,"",'Rejseafregning '!$AJ$57)</f>
        <v/>
      </c>
      <c r="G10" s="15" t="str">
        <f t="shared" si="1"/>
        <v/>
      </c>
      <c r="K10" s="3" t="str">
        <f t="shared" ca="1" si="2"/>
        <v/>
      </c>
      <c r="L10" t="str">
        <f t="shared" ca="1" si="3"/>
        <v/>
      </c>
      <c r="M10">
        <f t="shared" ca="1" si="0"/>
        <v>10</v>
      </c>
      <c r="O10" s="16" t="str">
        <f>IF(ISERROR(ROUND(D,2)),"",ROUND(D,2))</f>
        <v/>
      </c>
    </row>
    <row r="11" spans="2:15" ht="15" customHeight="1" x14ac:dyDescent="0.15">
      <c r="C11" s="13" t="str">
        <f>IF(H33="FALSE","",IF('Rejseafregning '!$AJ$29="","",IF(MADINDLAND&lt;&gt;0,"3222-m","")))</f>
        <v/>
      </c>
      <c r="D11" s="13" t="str">
        <f t="array" aca="1" ref="D11" ca="1">IF(ROW()-ROW(NOBLANKSRANGE)+1&gt;ROWS(Blanksrange)-COUNTBLANK(Blanksrange),"",INDIRECT(ADDRESS(SMALL((IF(Blanksrange&lt;&gt;"",ROW(Blanksrange),ROW()+ROWS(Blanksrange))),ROW()-ROW(NOBLANKSRANGE)+1),COLUMN(Blanksrange),4)))</f>
        <v/>
      </c>
      <c r="E11" s="14" t="s">
        <v>155</v>
      </c>
      <c r="F11" s="15" t="str">
        <f>IF(OR(AND(MADUDLAND1=0,MADUDLAND2=0),MAD=""),"",MAD-(MADINDLAND/D6))</f>
        <v/>
      </c>
      <c r="G11" s="15" t="str">
        <f t="shared" si="1"/>
        <v/>
      </c>
      <c r="K11" s="3" t="str">
        <f t="shared" ca="1" si="2"/>
        <v/>
      </c>
      <c r="L11" t="str">
        <f t="shared" ca="1" si="3"/>
        <v/>
      </c>
      <c r="M11">
        <f t="shared" ca="1" si="0"/>
        <v>10</v>
      </c>
      <c r="O11" s="16" t="str">
        <f>IF(ISERROR(ROUND(MAD,2)),"",ROUND(MAD,2))</f>
        <v/>
      </c>
    </row>
    <row r="12" spans="2:15" ht="15" customHeight="1" x14ac:dyDescent="0.15">
      <c r="C12" s="13" t="str">
        <f>IF(H33="FALSE","",IF('Rejseafregning '!$AJ$29="","",IF(OR(MADUDLAND1&lt;&gt;0,MADUDLAND2&lt;&gt;0),"3222-u","")))</f>
        <v/>
      </c>
      <c r="D12" s="13" t="str">
        <f t="array" aca="1" ref="D12" ca="1">IF(ROW()-ROW(NOBLANKSRANGE)+1&gt;ROWS(Blanksrange)-COUNTBLANK(Blanksrange),"",INDIRECT(ADDRESS(SMALL((IF(Blanksrange&lt;&gt;"",ROW(Blanksrange),ROW()+ROWS(Blanksrange))),ROW()-ROW(NOBLANKSRANGE)+1),COLUMN(Blanksrange),4)))</f>
        <v/>
      </c>
      <c r="E12" s="7" t="s">
        <v>154</v>
      </c>
      <c r="F12" s="15" t="str">
        <f>IF(MADINDLAND=0,"",MADINDLAND/D6)</f>
        <v/>
      </c>
      <c r="G12" s="15" t="str">
        <f t="shared" si="1"/>
        <v/>
      </c>
      <c r="K12" s="3" t="str">
        <f t="shared" ca="1" si="2"/>
        <v/>
      </c>
      <c r="L12" t="str">
        <f t="shared" ca="1" si="3"/>
        <v/>
      </c>
      <c r="M12">
        <f t="shared" ca="1" si="0"/>
        <v>10</v>
      </c>
      <c r="O12" s="16" t="str">
        <f>IF(ISERROR(ROUND(F,2)),"",ROUND(F,2))</f>
        <v/>
      </c>
    </row>
    <row r="13" spans="2:15" ht="15" customHeight="1" x14ac:dyDescent="0.15">
      <c r="C13" s="13" t="str">
        <f>IF(H33="FALSE","",IF('Rejseafregning '!$AJ$32="",""," "))</f>
        <v/>
      </c>
      <c r="D13" s="13" t="str">
        <f t="array" aca="1" ref="D13" ca="1">IF(ROW()-ROW(NOBLANKSRANGE)+1&gt;ROWS(Blanksrange)-COUNTBLANK(Blanksrange),"",INDIRECT(ADDRESS(SMALL((IF(Blanksrange&lt;&gt;"",ROW(Blanksrange),ROW()+ROWS(Blanksrange))),ROW()-ROW(NOBLANKSRANGE)+1),COLUMN(Blanksrange),4)))</f>
        <v/>
      </c>
      <c r="E13" s="14" t="str">
        <f>IF(H="",""," ")</f>
        <v/>
      </c>
      <c r="F13" s="15" t="str">
        <f>IF(OR(H="",H=0),"",H)</f>
        <v/>
      </c>
      <c r="G13" s="15" t="str">
        <f t="shared" si="1"/>
        <v/>
      </c>
      <c r="K13" s="3" t="str">
        <f t="shared" ca="1" si="2"/>
        <v/>
      </c>
      <c r="L13" t="str">
        <f t="shared" ca="1" si="3"/>
        <v/>
      </c>
      <c r="M13">
        <f t="shared" ca="1" si="0"/>
        <v>10</v>
      </c>
      <c r="O13" s="16" t="str">
        <f>IF(ISERROR(ROUND(G,2)),"",ROUND(G,2))</f>
        <v/>
      </c>
    </row>
    <row r="14" spans="2:15" ht="15" customHeight="1" x14ac:dyDescent="0.15">
      <c r="C14" s="13" t="str">
        <f>IF(OR(F14="",F14=0),"",IF(H33="FALSE",6710,IF('Rejseafregning '!$AK$60="","",6710)))</f>
        <v/>
      </c>
      <c r="D14" s="13" t="str">
        <f t="array" aca="1" ref="D14" ca="1">IF(ROW()-ROW(NOBLANKSRANGE)+1&gt;ROWS(Blanksrange)-COUNTBLANK(Blanksrange),"",INDIRECT(ADDRESS(SMALL((IF(Blanksrange&lt;&gt;"",ROW(Blanksrange),ROW()+ROWS(Blanksrange))),ROW()-ROW(NOBLANKSRANGE)+1),COLUMN(Blanksrange),4)))</f>
        <v/>
      </c>
      <c r="E14" s="14">
        <v>6710</v>
      </c>
      <c r="F14" s="15" t="str">
        <f>IF(H33="FALSE",SUM(F7:F13),IF('Rejseafregning '!$AK$60=0,"",'Rejseafregning '!$AK$60*-1))</f>
        <v/>
      </c>
      <c r="G14" s="15" t="str">
        <f>F14</f>
        <v/>
      </c>
      <c r="K14" s="3" t="str">
        <f t="shared" ca="1" si="2"/>
        <v/>
      </c>
      <c r="L14" t="str">
        <f t="shared" ca="1" si="3"/>
        <v/>
      </c>
      <c r="M14">
        <f t="shared" ca="1" si="0"/>
        <v>10</v>
      </c>
      <c r="O14" s="16" t="str">
        <f>IF(ISERROR(ROUND(H,2)),"",ROUND(H,2))</f>
        <v/>
      </c>
    </row>
    <row r="15" spans="2:15" ht="15" customHeight="1" x14ac:dyDescent="0.15">
      <c r="K15" s="3" t="str">
        <f>IF(OR(Beregninger!J48="",Beregninger!J48=0),"",Beregninger!J48)</f>
        <v/>
      </c>
    </row>
    <row r="16" spans="2:15" ht="15" customHeight="1" x14ac:dyDescent="0.15">
      <c r="K16" s="3">
        <f>AFDELING</f>
        <v>0</v>
      </c>
    </row>
    <row r="17" spans="1:14" ht="15" customHeight="1" x14ac:dyDescent="0.15">
      <c r="A17" s="16"/>
      <c r="K17" t="str">
        <f>IF(OR($K$16="Institut for Videnskabsstudier",$K$16="Department of Science Studies"),"IVS","")</f>
        <v/>
      </c>
    </row>
    <row r="18" spans="1:14" ht="15" customHeight="1" x14ac:dyDescent="0.15">
      <c r="K18" t="str">
        <f>IF(OR($K$16="Datalogisk Institut",$K$16="Department of Computer Science"),"DI",IF(OR($K$16="Institut for Matematiske Fag",$K$16="Department of Mathematical Sciences",$K$16="QGM",$K$16="Niels Bohr"),"MI",""))</f>
        <v/>
      </c>
    </row>
    <row r="19" spans="1:14" ht="15" customHeight="1" x14ac:dyDescent="0.15">
      <c r="A19" s="16"/>
      <c r="K19" t="str">
        <f>IF(AND(OR(M29="Yes",M29="Ja"),Beregninger!K18="MI"),"PHDs","")</f>
        <v/>
      </c>
    </row>
    <row r="20" spans="1:14" ht="15" customHeight="1" x14ac:dyDescent="0.15">
      <c r="A20" s="16"/>
      <c r="K20" t="str">
        <f>IF(AFDELING="QGM","QGM",IF(AFDELING="Niels Bohr","Niels Bohr",""))</f>
        <v/>
      </c>
      <c r="L20" s="7" t="s">
        <v>176</v>
      </c>
      <c r="M20" s="7" t="str">
        <f>IF(LANGUAGE="English","Input error","Fejl i indtastning")</f>
        <v>Input error</v>
      </c>
    </row>
    <row r="26" spans="1:14" ht="15" customHeight="1" x14ac:dyDescent="0.15">
      <c r="M26" s="7" t="str">
        <f>IF(LANGUAGE="English","PHDe","PHD")</f>
        <v>PHDe</v>
      </c>
    </row>
    <row r="27" spans="1:14" ht="15" customHeight="1" x14ac:dyDescent="0.15">
      <c r="J27" s="7" t="s">
        <v>169</v>
      </c>
      <c r="K27">
        <f>IF($K$17="IVS",3,IF($K$19="PHDs",4,5))</f>
        <v>5</v>
      </c>
      <c r="M27" s="7" t="s">
        <v>173</v>
      </c>
      <c r="N27" s="7" t="s">
        <v>174</v>
      </c>
    </row>
    <row r="28" spans="1:14" ht="15" customHeight="1" x14ac:dyDescent="0.15">
      <c r="J28" s="7" t="s">
        <v>170</v>
      </c>
      <c r="K28">
        <f>IF($K$17="IVS",2,IF($K$19="PHDs",3,4))</f>
        <v>4</v>
      </c>
      <c r="M28" s="7" t="s">
        <v>172</v>
      </c>
      <c r="N28" t="s">
        <v>175</v>
      </c>
    </row>
    <row r="29" spans="1:14" ht="15" customHeight="1" x14ac:dyDescent="0.15">
      <c r="M29">
        <f>'Rejseafregning '!$J$35</f>
        <v>0</v>
      </c>
    </row>
    <row r="32" spans="1:14" ht="15" customHeight="1" x14ac:dyDescent="0.15">
      <c r="C32" s="77" t="s">
        <v>178</v>
      </c>
      <c r="H32" s="7" t="s">
        <v>183</v>
      </c>
    </row>
    <row r="33" spans="3:9" ht="15" customHeight="1" x14ac:dyDescent="0.15">
      <c r="C33" s="7" t="s">
        <v>179</v>
      </c>
      <c r="F33" s="7" t="s">
        <v>181</v>
      </c>
      <c r="H33" t="str">
        <f>IF(OR(Type="Rejseafregning",Type="Travel statement"),"TRUE","FALSE")</f>
        <v>TRUE</v>
      </c>
    </row>
    <row r="34" spans="3:9" ht="15" customHeight="1" x14ac:dyDescent="0.15">
      <c r="C34" s="7" t="s">
        <v>180</v>
      </c>
      <c r="F34" s="7" t="s">
        <v>182</v>
      </c>
    </row>
    <row r="41" spans="3:9" ht="15" customHeight="1" x14ac:dyDescent="0.15">
      <c r="C41" s="7" t="s">
        <v>240</v>
      </c>
      <c r="E41" s="7" t="s">
        <v>157</v>
      </c>
      <c r="F41" s="7" t="s">
        <v>241</v>
      </c>
    </row>
    <row r="42" spans="3:9" ht="15" customHeight="1" x14ac:dyDescent="0.15">
      <c r="E42" s="7" t="s">
        <v>242</v>
      </c>
      <c r="F42" s="7" t="s">
        <v>244</v>
      </c>
    </row>
    <row r="48" spans="3:9" ht="15" customHeight="1" x14ac:dyDescent="0.15">
      <c r="C48" s="16" t="s">
        <v>239</v>
      </c>
      <c r="I48" s="77"/>
    </row>
    <row r="49" spans="3:13" ht="15" customHeight="1" x14ac:dyDescent="0.15">
      <c r="C49" s="16" t="str">
        <f>IF(ISERROR(ROUND(F,2)),"",ROUND(F,2))</f>
        <v/>
      </c>
      <c r="D49">
        <v>2009</v>
      </c>
      <c r="E49">
        <v>2010</v>
      </c>
      <c r="I49" s="7"/>
      <c r="M49" s="7"/>
    </row>
    <row r="50" spans="3:13" ht="15" customHeight="1" x14ac:dyDescent="0.2">
      <c r="C50" s="102" t="s">
        <v>51</v>
      </c>
      <c r="D50" s="104">
        <v>455</v>
      </c>
      <c r="E50" s="104">
        <v>455</v>
      </c>
      <c r="I50" s="7"/>
    </row>
    <row r="51" spans="3:13" ht="15" customHeight="1" x14ac:dyDescent="0.2">
      <c r="C51" s="102" t="s">
        <v>80</v>
      </c>
      <c r="D51" s="104">
        <v>455</v>
      </c>
      <c r="E51" s="104">
        <v>455</v>
      </c>
      <c r="I51" s="7"/>
      <c r="M51" s="7"/>
    </row>
    <row r="52" spans="3:13" ht="15" customHeight="1" x14ac:dyDescent="0.2">
      <c r="C52" s="102" t="s">
        <v>61</v>
      </c>
      <c r="D52" s="104">
        <v>344</v>
      </c>
      <c r="E52" s="104">
        <v>344</v>
      </c>
      <c r="I52" s="7"/>
    </row>
    <row r="53" spans="3:13" ht="15" customHeight="1" x14ac:dyDescent="0.2">
      <c r="C53" s="102" t="s">
        <v>11</v>
      </c>
      <c r="D53" s="104">
        <v>455</v>
      </c>
      <c r="E53" s="104">
        <v>455</v>
      </c>
      <c r="I53" s="7"/>
    </row>
    <row r="54" spans="3:13" ht="15" customHeight="1" x14ac:dyDescent="0.2">
      <c r="C54" s="111" t="s">
        <v>62</v>
      </c>
      <c r="D54" s="113">
        <v>189</v>
      </c>
      <c r="E54" s="113">
        <v>189</v>
      </c>
      <c r="I54" s="7"/>
    </row>
    <row r="55" spans="3:13" ht="15" customHeight="1" x14ac:dyDescent="0.2">
      <c r="C55" s="102" t="s">
        <v>52</v>
      </c>
      <c r="D55" s="104">
        <v>260</v>
      </c>
      <c r="E55" s="104">
        <v>260</v>
      </c>
      <c r="I55" s="7"/>
    </row>
    <row r="56" spans="3:13" ht="15" customHeight="1" x14ac:dyDescent="0.2">
      <c r="C56" s="102" t="s">
        <v>53</v>
      </c>
      <c r="D56" s="104">
        <v>455</v>
      </c>
      <c r="E56" s="104">
        <v>455</v>
      </c>
      <c r="I56" s="7"/>
    </row>
    <row r="57" spans="3:13" ht="15" customHeight="1" x14ac:dyDescent="0.2">
      <c r="C57" s="102" t="s">
        <v>12</v>
      </c>
      <c r="D57" s="104">
        <v>337</v>
      </c>
      <c r="E57" s="104">
        <v>337</v>
      </c>
      <c r="I57" s="7"/>
    </row>
    <row r="58" spans="3:13" ht="15" customHeight="1" x14ac:dyDescent="0.2">
      <c r="C58" s="102" t="s">
        <v>54</v>
      </c>
      <c r="D58" s="104">
        <v>455</v>
      </c>
      <c r="E58" s="104">
        <v>455</v>
      </c>
      <c r="I58" s="8"/>
    </row>
    <row r="59" spans="3:13" ht="15" customHeight="1" x14ac:dyDescent="0.2">
      <c r="C59" s="111" t="s">
        <v>55</v>
      </c>
      <c r="D59" s="113">
        <v>455</v>
      </c>
      <c r="E59" s="113">
        <v>455</v>
      </c>
      <c r="I59" s="7"/>
    </row>
    <row r="60" spans="3:13" ht="15" customHeight="1" x14ac:dyDescent="0.2">
      <c r="C60" s="102" t="s">
        <v>56</v>
      </c>
      <c r="D60" s="104">
        <v>344</v>
      </c>
      <c r="E60" s="104">
        <v>344</v>
      </c>
      <c r="I60" s="7"/>
      <c r="M60" s="7"/>
    </row>
    <row r="61" spans="3:13" ht="15" customHeight="1" x14ac:dyDescent="0.2">
      <c r="C61" s="102" t="s">
        <v>57</v>
      </c>
      <c r="D61" s="104">
        <v>363</v>
      </c>
      <c r="E61" s="104">
        <v>363</v>
      </c>
      <c r="I61" s="7"/>
    </row>
    <row r="62" spans="3:13" ht="15" customHeight="1" x14ac:dyDescent="0.2">
      <c r="C62" s="102" t="s">
        <v>13</v>
      </c>
      <c r="D62" s="104">
        <v>455</v>
      </c>
      <c r="E62" s="104">
        <v>455</v>
      </c>
      <c r="I62" s="7"/>
      <c r="M62" s="7"/>
    </row>
    <row r="63" spans="3:13" ht="15" customHeight="1" x14ac:dyDescent="0.2">
      <c r="C63" s="102" t="s">
        <v>85</v>
      </c>
      <c r="D63" s="104">
        <v>390</v>
      </c>
      <c r="E63" s="104">
        <v>390</v>
      </c>
      <c r="I63" s="7"/>
      <c r="M63" s="7"/>
    </row>
    <row r="64" spans="3:13" ht="15" customHeight="1" x14ac:dyDescent="0.2">
      <c r="C64" s="111" t="s">
        <v>104</v>
      </c>
      <c r="D64" s="113">
        <v>347</v>
      </c>
      <c r="E64" s="113">
        <v>347</v>
      </c>
      <c r="I64" s="7"/>
      <c r="M64" s="7"/>
    </row>
    <row r="65" spans="3:13" ht="15" customHeight="1" x14ac:dyDescent="0.2">
      <c r="C65" s="102" t="s">
        <v>42</v>
      </c>
      <c r="D65" s="104">
        <v>455</v>
      </c>
      <c r="E65" s="104">
        <v>455</v>
      </c>
      <c r="I65" s="7"/>
      <c r="M65" s="7"/>
    </row>
    <row r="66" spans="3:13" ht="15" customHeight="1" x14ac:dyDescent="0.2">
      <c r="C66" s="102" t="s">
        <v>14</v>
      </c>
      <c r="D66" s="104">
        <v>455</v>
      </c>
      <c r="E66" s="104">
        <v>455</v>
      </c>
    </row>
    <row r="67" spans="3:13" ht="15" customHeight="1" x14ac:dyDescent="0.2">
      <c r="C67" s="102" t="s">
        <v>63</v>
      </c>
      <c r="D67" s="104">
        <v>455</v>
      </c>
      <c r="E67" s="104">
        <v>455</v>
      </c>
    </row>
    <row r="68" spans="3:13" ht="15" customHeight="1" x14ac:dyDescent="0.2">
      <c r="C68" s="102" t="s">
        <v>15</v>
      </c>
      <c r="D68" s="104">
        <v>455</v>
      </c>
      <c r="E68" s="104">
        <v>455</v>
      </c>
    </row>
    <row r="69" spans="3:13" ht="15" customHeight="1" x14ac:dyDescent="0.2">
      <c r="C69" s="111" t="s">
        <v>143</v>
      </c>
      <c r="D69" s="113">
        <v>455</v>
      </c>
      <c r="E69" s="113">
        <v>455</v>
      </c>
    </row>
    <row r="70" spans="3:13" ht="15" customHeight="1" x14ac:dyDescent="0.2">
      <c r="C70" s="102" t="s">
        <v>16</v>
      </c>
      <c r="D70" s="104">
        <v>455</v>
      </c>
      <c r="E70" s="104">
        <v>455</v>
      </c>
    </row>
    <row r="71" spans="3:13" ht="15" customHeight="1" x14ac:dyDescent="0.2">
      <c r="C71" s="102" t="s">
        <v>17</v>
      </c>
      <c r="D71" s="104">
        <v>455</v>
      </c>
      <c r="E71" s="104">
        <v>455</v>
      </c>
    </row>
    <row r="72" spans="3:13" ht="15" customHeight="1" x14ac:dyDescent="0.2">
      <c r="C72" s="102" t="s">
        <v>18</v>
      </c>
      <c r="D72" s="104">
        <v>455</v>
      </c>
      <c r="E72" s="104">
        <v>455</v>
      </c>
    </row>
    <row r="73" spans="3:13" ht="15" customHeight="1" x14ac:dyDescent="0.2">
      <c r="C73" s="102" t="s">
        <v>19</v>
      </c>
      <c r="D73" s="104">
        <v>455</v>
      </c>
      <c r="E73" s="104">
        <v>455</v>
      </c>
    </row>
    <row r="74" spans="3:13" ht="15" customHeight="1" x14ac:dyDescent="0.2">
      <c r="C74" s="111" t="s">
        <v>81</v>
      </c>
      <c r="D74" s="113">
        <v>455</v>
      </c>
      <c r="E74" s="113">
        <v>455</v>
      </c>
    </row>
    <row r="75" spans="3:13" ht="15" customHeight="1" x14ac:dyDescent="0.2">
      <c r="C75" s="102" t="s">
        <v>64</v>
      </c>
      <c r="D75" s="104">
        <v>250</v>
      </c>
      <c r="E75" s="104">
        <v>250</v>
      </c>
    </row>
    <row r="76" spans="3:13" ht="15" customHeight="1" x14ac:dyDescent="0.2">
      <c r="C76" s="102" t="s">
        <v>65</v>
      </c>
      <c r="D76" s="104">
        <v>455</v>
      </c>
      <c r="E76" s="104">
        <v>455</v>
      </c>
    </row>
    <row r="77" spans="3:13" ht="15" customHeight="1" x14ac:dyDescent="0.2">
      <c r="C77" s="102" t="s">
        <v>66</v>
      </c>
      <c r="D77" s="104">
        <v>260</v>
      </c>
      <c r="E77" s="104">
        <v>260</v>
      </c>
    </row>
    <row r="78" spans="3:13" ht="15" customHeight="1" x14ac:dyDescent="0.2">
      <c r="C78" s="102" t="s">
        <v>20</v>
      </c>
      <c r="D78" s="104">
        <v>445</v>
      </c>
      <c r="E78" s="104">
        <v>445</v>
      </c>
    </row>
    <row r="79" spans="3:13" ht="15" customHeight="1" x14ac:dyDescent="0.2">
      <c r="C79" s="111" t="s">
        <v>21</v>
      </c>
      <c r="D79" s="113">
        <v>455</v>
      </c>
      <c r="E79" s="113">
        <v>455</v>
      </c>
    </row>
    <row r="80" spans="3:13" ht="15" customHeight="1" x14ac:dyDescent="0.2">
      <c r="C80" s="102" t="s">
        <v>67</v>
      </c>
      <c r="D80" s="104">
        <v>455</v>
      </c>
      <c r="E80" s="104">
        <v>455</v>
      </c>
    </row>
    <row r="81" spans="3:5" ht="15" customHeight="1" x14ac:dyDescent="0.2">
      <c r="C81" s="102" t="s">
        <v>22</v>
      </c>
      <c r="D81" s="104">
        <v>455</v>
      </c>
      <c r="E81" s="104">
        <v>455</v>
      </c>
    </row>
    <row r="82" spans="3:5" ht="15" customHeight="1" x14ac:dyDescent="0.2">
      <c r="C82" s="102" t="s">
        <v>68</v>
      </c>
      <c r="D82" s="104">
        <v>455</v>
      </c>
      <c r="E82" s="104">
        <v>455</v>
      </c>
    </row>
    <row r="83" spans="3:5" ht="15" customHeight="1" x14ac:dyDescent="0.2">
      <c r="C83" s="102" t="s">
        <v>69</v>
      </c>
      <c r="D83" s="104">
        <v>455</v>
      </c>
      <c r="E83" s="104">
        <v>455</v>
      </c>
    </row>
    <row r="84" spans="3:5" ht="15" customHeight="1" x14ac:dyDescent="0.2">
      <c r="C84" s="111" t="s">
        <v>43</v>
      </c>
      <c r="D84" s="113">
        <v>455</v>
      </c>
      <c r="E84" s="113">
        <v>455</v>
      </c>
    </row>
    <row r="85" spans="3:5" ht="15" customHeight="1" x14ac:dyDescent="0.2">
      <c r="C85" s="102" t="s">
        <v>70</v>
      </c>
      <c r="D85" s="104">
        <v>455</v>
      </c>
      <c r="E85" s="104">
        <v>455</v>
      </c>
    </row>
    <row r="86" spans="3:5" ht="15" customHeight="1" x14ac:dyDescent="0.2">
      <c r="C86" s="102" t="s">
        <v>71</v>
      </c>
      <c r="D86" s="104">
        <v>455</v>
      </c>
      <c r="E86" s="104">
        <v>455</v>
      </c>
    </row>
    <row r="87" spans="3:5" ht="15" customHeight="1" x14ac:dyDescent="0.2">
      <c r="C87" s="102" t="s">
        <v>23</v>
      </c>
      <c r="D87" s="104">
        <v>455</v>
      </c>
      <c r="E87" s="104">
        <v>455</v>
      </c>
    </row>
    <row r="88" spans="3:5" ht="15" customHeight="1" x14ac:dyDescent="0.2">
      <c r="C88" s="102" t="s">
        <v>24</v>
      </c>
      <c r="D88" s="104">
        <v>455</v>
      </c>
      <c r="E88" s="104">
        <v>455</v>
      </c>
    </row>
    <row r="89" spans="3:5" ht="15" customHeight="1" x14ac:dyDescent="0.2">
      <c r="C89" s="111" t="s">
        <v>25</v>
      </c>
      <c r="D89" s="113">
        <v>455</v>
      </c>
      <c r="E89" s="113">
        <v>455</v>
      </c>
    </row>
    <row r="90" spans="3:5" ht="15" customHeight="1" x14ac:dyDescent="0.2">
      <c r="C90" s="102" t="s">
        <v>72</v>
      </c>
      <c r="D90" s="104">
        <v>255</v>
      </c>
      <c r="E90" s="104">
        <v>255</v>
      </c>
    </row>
    <row r="91" spans="3:5" ht="15" customHeight="1" x14ac:dyDescent="0.2">
      <c r="C91" s="102" t="s">
        <v>44</v>
      </c>
      <c r="D91" s="104">
        <v>455</v>
      </c>
      <c r="E91" s="104">
        <v>455</v>
      </c>
    </row>
    <row r="92" spans="3:5" ht="15" customHeight="1" x14ac:dyDescent="0.2">
      <c r="C92" s="102" t="s">
        <v>58</v>
      </c>
      <c r="D92" s="104">
        <v>455</v>
      </c>
      <c r="E92" s="104">
        <v>455</v>
      </c>
    </row>
    <row r="93" spans="3:5" ht="15" customHeight="1" x14ac:dyDescent="0.2">
      <c r="C93" s="102" t="s">
        <v>45</v>
      </c>
      <c r="D93" s="104">
        <v>302</v>
      </c>
      <c r="E93" s="104">
        <v>302</v>
      </c>
    </row>
    <row r="94" spans="3:5" ht="15" customHeight="1" x14ac:dyDescent="0.2">
      <c r="C94" s="111" t="s">
        <v>73</v>
      </c>
      <c r="D94" s="113">
        <v>211</v>
      </c>
      <c r="E94" s="113">
        <v>211</v>
      </c>
    </row>
    <row r="95" spans="3:5" ht="15" customHeight="1" x14ac:dyDescent="0.2">
      <c r="C95" s="102" t="s">
        <v>82</v>
      </c>
      <c r="D95" s="104">
        <v>455</v>
      </c>
      <c r="E95" s="104">
        <v>455</v>
      </c>
    </row>
    <row r="96" spans="3:5" ht="15" customHeight="1" x14ac:dyDescent="0.2">
      <c r="C96" s="102" t="s">
        <v>26</v>
      </c>
      <c r="D96" s="104">
        <v>455</v>
      </c>
      <c r="E96" s="104">
        <v>455</v>
      </c>
    </row>
    <row r="97" spans="3:5" ht="15" customHeight="1" x14ac:dyDescent="0.2">
      <c r="C97" s="102" t="s">
        <v>74</v>
      </c>
      <c r="D97" s="104">
        <v>455</v>
      </c>
      <c r="E97" s="104">
        <v>455</v>
      </c>
    </row>
    <row r="98" spans="3:5" ht="15" customHeight="1" x14ac:dyDescent="0.2">
      <c r="C98" s="102" t="s">
        <v>75</v>
      </c>
      <c r="D98" s="104">
        <v>214</v>
      </c>
      <c r="E98" s="104">
        <v>214</v>
      </c>
    </row>
    <row r="99" spans="3:5" ht="15" customHeight="1" x14ac:dyDescent="0.2">
      <c r="C99" s="111" t="s">
        <v>27</v>
      </c>
      <c r="D99" s="113">
        <v>455</v>
      </c>
      <c r="E99" s="113">
        <v>455</v>
      </c>
    </row>
    <row r="100" spans="3:5" ht="15" customHeight="1" x14ac:dyDescent="0.2">
      <c r="C100" s="102" t="s">
        <v>28</v>
      </c>
      <c r="D100" s="104">
        <v>455</v>
      </c>
      <c r="E100" s="104">
        <v>455</v>
      </c>
    </row>
    <row r="101" spans="3:5" ht="15" customHeight="1" x14ac:dyDescent="0.2">
      <c r="C101" s="102" t="s">
        <v>76</v>
      </c>
      <c r="D101" s="104">
        <v>455</v>
      </c>
      <c r="E101" s="104">
        <v>455</v>
      </c>
    </row>
    <row r="102" spans="3:5" ht="15" customHeight="1" x14ac:dyDescent="0.2">
      <c r="C102" s="102" t="s">
        <v>29</v>
      </c>
      <c r="D102" s="104">
        <v>455</v>
      </c>
      <c r="E102" s="104">
        <v>455</v>
      </c>
    </row>
    <row r="103" spans="3:5" ht="15" customHeight="1" x14ac:dyDescent="0.2">
      <c r="C103" s="102" t="s">
        <v>30</v>
      </c>
      <c r="D103" s="104">
        <v>455</v>
      </c>
      <c r="E103" s="104">
        <v>455</v>
      </c>
    </row>
    <row r="104" spans="3:5" ht="15" customHeight="1" x14ac:dyDescent="0.2">
      <c r="C104" s="111" t="s">
        <v>131</v>
      </c>
      <c r="D104" s="113">
        <v>455</v>
      </c>
      <c r="E104" s="113">
        <v>455</v>
      </c>
    </row>
    <row r="105" spans="3:5" ht="15" customHeight="1" x14ac:dyDescent="0.2">
      <c r="C105" s="102" t="s">
        <v>31</v>
      </c>
      <c r="D105" s="104">
        <v>455</v>
      </c>
      <c r="E105" s="104">
        <v>455</v>
      </c>
    </row>
    <row r="106" spans="3:5" ht="15" customHeight="1" x14ac:dyDescent="0.2">
      <c r="C106" s="102" t="s">
        <v>77</v>
      </c>
      <c r="D106" s="104">
        <v>455</v>
      </c>
      <c r="E106" s="104">
        <v>455</v>
      </c>
    </row>
    <row r="107" spans="3:5" ht="15" customHeight="1" x14ac:dyDescent="0.2">
      <c r="C107" s="102" t="s">
        <v>32</v>
      </c>
      <c r="D107" s="104">
        <v>322</v>
      </c>
      <c r="E107" s="104">
        <v>322</v>
      </c>
    </row>
    <row r="108" spans="3:5" ht="15" customHeight="1" x14ac:dyDescent="0.2">
      <c r="C108" s="102" t="s">
        <v>33</v>
      </c>
      <c r="D108" s="104">
        <v>455</v>
      </c>
      <c r="E108" s="104">
        <v>455</v>
      </c>
    </row>
    <row r="109" spans="3:5" ht="15" customHeight="1" x14ac:dyDescent="0.2">
      <c r="C109" s="111" t="s">
        <v>34</v>
      </c>
      <c r="D109" s="113">
        <v>455</v>
      </c>
      <c r="E109" s="113">
        <v>455</v>
      </c>
    </row>
    <row r="110" spans="3:5" ht="15" customHeight="1" x14ac:dyDescent="0.2">
      <c r="C110" s="102" t="s">
        <v>35</v>
      </c>
      <c r="D110" s="104">
        <v>455</v>
      </c>
      <c r="E110" s="104">
        <v>455</v>
      </c>
    </row>
    <row r="111" spans="3:5" ht="15" customHeight="1" x14ac:dyDescent="0.2">
      <c r="C111" s="102" t="s">
        <v>46</v>
      </c>
      <c r="D111" s="104">
        <v>250</v>
      </c>
      <c r="E111" s="104">
        <v>250</v>
      </c>
    </row>
    <row r="112" spans="3:5" ht="15" customHeight="1" x14ac:dyDescent="0.2">
      <c r="C112" s="102" t="s">
        <v>120</v>
      </c>
      <c r="D112" s="104">
        <v>455</v>
      </c>
      <c r="E112" s="104">
        <v>455</v>
      </c>
    </row>
    <row r="113" spans="3:5" ht="15" customHeight="1" x14ac:dyDescent="0.2">
      <c r="C113" s="102" t="s">
        <v>78</v>
      </c>
      <c r="D113" s="104">
        <v>455</v>
      </c>
      <c r="E113" s="104">
        <v>455</v>
      </c>
    </row>
    <row r="114" spans="3:5" ht="15" customHeight="1" x14ac:dyDescent="0.2">
      <c r="C114" s="111" t="s">
        <v>47</v>
      </c>
      <c r="D114" s="113">
        <v>455</v>
      </c>
      <c r="E114" s="113">
        <v>455</v>
      </c>
    </row>
    <row r="115" spans="3:5" ht="15" customHeight="1" x14ac:dyDescent="0.2">
      <c r="C115" s="102" t="s">
        <v>79</v>
      </c>
      <c r="D115" s="104">
        <v>311</v>
      </c>
      <c r="E115" s="104">
        <v>311</v>
      </c>
    </row>
    <row r="116" spans="3:5" ht="15" customHeight="1" x14ac:dyDescent="0.2">
      <c r="C116" s="102" t="s">
        <v>36</v>
      </c>
      <c r="D116" s="104">
        <v>455</v>
      </c>
      <c r="E116" s="104">
        <v>455</v>
      </c>
    </row>
    <row r="117" spans="3:5" ht="15" customHeight="1" x14ac:dyDescent="0.2">
      <c r="C117" s="102" t="s">
        <v>48</v>
      </c>
      <c r="D117" s="104">
        <v>357</v>
      </c>
      <c r="E117" s="104">
        <v>357</v>
      </c>
    </row>
    <row r="118" spans="3:5" ht="15" customHeight="1" x14ac:dyDescent="0.2">
      <c r="C118" s="102" t="s">
        <v>37</v>
      </c>
      <c r="D118" s="104">
        <v>455</v>
      </c>
      <c r="E118" s="104">
        <v>455</v>
      </c>
    </row>
    <row r="119" spans="3:5" ht="15" customHeight="1" x14ac:dyDescent="0.2">
      <c r="C119" s="111" t="s">
        <v>38</v>
      </c>
      <c r="D119" s="113">
        <v>455</v>
      </c>
      <c r="E119" s="113">
        <v>455</v>
      </c>
    </row>
    <row r="120" spans="3:5" ht="15" customHeight="1" x14ac:dyDescent="0.2">
      <c r="C120" s="102" t="s">
        <v>39</v>
      </c>
      <c r="D120" s="104">
        <v>455</v>
      </c>
      <c r="E120" s="104">
        <v>455</v>
      </c>
    </row>
    <row r="121" spans="3:5" ht="15" customHeight="1" x14ac:dyDescent="0.2">
      <c r="C121" s="102" t="s">
        <v>40</v>
      </c>
      <c r="D121" s="104">
        <v>455</v>
      </c>
      <c r="E121" s="104">
        <v>455</v>
      </c>
    </row>
    <row r="122" spans="3:5" ht="15" customHeight="1" x14ac:dyDescent="0.2">
      <c r="C122" s="102" t="s">
        <v>59</v>
      </c>
      <c r="D122" s="104">
        <v>455</v>
      </c>
      <c r="E122" s="104">
        <v>455</v>
      </c>
    </row>
    <row r="123" spans="3:5" ht="15" customHeight="1" x14ac:dyDescent="0.2">
      <c r="C123" s="102" t="s">
        <v>60</v>
      </c>
      <c r="D123" s="104">
        <v>455</v>
      </c>
      <c r="E123" s="104">
        <v>455</v>
      </c>
    </row>
    <row r="124" spans="3:5" ht="15" customHeight="1" x14ac:dyDescent="0.2">
      <c r="C124" s="111" t="s">
        <v>49</v>
      </c>
      <c r="D124" s="113">
        <v>344</v>
      </c>
      <c r="E124" s="113">
        <v>344</v>
      </c>
    </row>
    <row r="125" spans="3:5" ht="15" customHeight="1" x14ac:dyDescent="0.2">
      <c r="C125" s="102" t="s">
        <v>50</v>
      </c>
      <c r="D125" s="104">
        <v>260</v>
      </c>
      <c r="E125" s="104">
        <v>260</v>
      </c>
    </row>
    <row r="126" spans="3:5" ht="15" customHeight="1" x14ac:dyDescent="0.2">
      <c r="C126" s="102" t="s">
        <v>41</v>
      </c>
      <c r="D126" s="104">
        <v>455</v>
      </c>
      <c r="E126" s="104">
        <v>455</v>
      </c>
    </row>
    <row r="127" spans="3:5" ht="15" customHeight="1" x14ac:dyDescent="0.2">
      <c r="C127" s="123" t="s">
        <v>147</v>
      </c>
      <c r="D127" s="125">
        <v>455</v>
      </c>
      <c r="E127" s="125">
        <v>455</v>
      </c>
    </row>
  </sheetData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L165"/>
  <sheetViews>
    <sheetView zoomScaleNormal="100" workbookViewId="0">
      <pane ySplit="8" topLeftCell="A10" activePane="bottomLeft" state="frozen"/>
      <selection activeCell="AI25" sqref="AI25:AM25"/>
      <selection pane="bottomLeft" activeCell="H12" sqref="H12"/>
    </sheetView>
  </sheetViews>
  <sheetFormatPr defaultRowHeight="10.5" x14ac:dyDescent="0.15"/>
  <cols>
    <col min="1" max="1" width="2.42578125" style="87" customWidth="1"/>
    <col min="2" max="2" width="30.140625" style="87" bestFit="1" customWidth="1"/>
    <col min="3" max="3" width="30.140625" style="87" customWidth="1"/>
    <col min="4" max="4" width="16.42578125" style="87" customWidth="1"/>
    <col min="5" max="5" width="9.140625" style="87"/>
    <col min="6" max="6" width="18.5703125" style="87" customWidth="1"/>
    <col min="7" max="7" width="13.140625" style="87" hidden="1" customWidth="1"/>
    <col min="8" max="8" width="12.7109375" style="87" customWidth="1"/>
    <col min="9" max="16384" width="9.140625" style="87"/>
  </cols>
  <sheetData>
    <row r="1" spans="1:12" ht="15" x14ac:dyDescent="0.15">
      <c r="A1" s="85"/>
      <c r="B1" s="475" t="s">
        <v>9</v>
      </c>
      <c r="C1" s="475"/>
      <c r="D1" s="475"/>
      <c r="E1" s="86"/>
      <c r="F1" s="86"/>
      <c r="G1" s="86"/>
      <c r="H1" s="86"/>
      <c r="I1" s="86"/>
      <c r="J1" s="86"/>
      <c r="K1" s="86"/>
      <c r="L1" s="86"/>
    </row>
    <row r="2" spans="1:12" ht="15" x14ac:dyDescent="0.15">
      <c r="B2" s="476"/>
      <c r="C2" s="476"/>
      <c r="D2" s="476"/>
      <c r="E2" s="88"/>
      <c r="F2" s="88"/>
      <c r="G2" s="88"/>
      <c r="H2" s="88"/>
      <c r="I2" s="88"/>
      <c r="J2" s="88"/>
      <c r="K2" s="88"/>
      <c r="L2" s="88"/>
    </row>
    <row r="3" spans="1:12" ht="15" x14ac:dyDescent="0.15">
      <c r="B3" s="477" t="s">
        <v>2</v>
      </c>
      <c r="C3" s="477"/>
      <c r="D3" s="477"/>
      <c r="E3" s="90"/>
      <c r="F3" s="90"/>
      <c r="G3" s="90"/>
      <c r="H3" s="90"/>
      <c r="I3" s="90"/>
      <c r="J3" s="90"/>
      <c r="K3" s="90"/>
      <c r="L3" s="90"/>
    </row>
    <row r="4" spans="1:12" ht="9.75" customHeight="1" x14ac:dyDescent="0.15"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</row>
    <row r="5" spans="1:12" ht="14.25" x14ac:dyDescent="0.2">
      <c r="B5" s="478" t="s">
        <v>150</v>
      </c>
      <c r="C5" s="478"/>
      <c r="D5" s="478"/>
    </row>
    <row r="6" spans="1:12" ht="14.25" x14ac:dyDescent="0.2">
      <c r="B6" s="91"/>
      <c r="C6" s="91"/>
      <c r="D6" s="91"/>
    </row>
    <row r="7" spans="1:12" ht="15.75" customHeight="1" x14ac:dyDescent="0.25">
      <c r="A7" s="92"/>
      <c r="B7" s="471" t="s">
        <v>93</v>
      </c>
      <c r="C7" s="472"/>
      <c r="D7" s="473"/>
      <c r="F7" s="474"/>
      <c r="G7" s="474"/>
      <c r="H7" s="474"/>
    </row>
    <row r="8" spans="1:12" ht="12.75" x14ac:dyDescent="0.2">
      <c r="A8" s="92"/>
      <c r="B8" s="93" t="s">
        <v>83</v>
      </c>
      <c r="C8" s="94" t="s">
        <v>149</v>
      </c>
      <c r="D8" s="95">
        <f>'Rejseafregning '!AF16</f>
        <v>2017</v>
      </c>
      <c r="F8" s="96"/>
      <c r="G8" s="97"/>
      <c r="H8" s="97"/>
    </row>
    <row r="9" spans="1:12" ht="12.75" hidden="1" x14ac:dyDescent="0.2">
      <c r="A9" s="92"/>
      <c r="B9" s="98"/>
      <c r="C9" s="99"/>
      <c r="D9" s="101"/>
      <c r="F9" s="96"/>
      <c r="G9" s="97"/>
      <c r="H9" s="97"/>
    </row>
    <row r="10" spans="1:12" ht="15" x14ac:dyDescent="0.25">
      <c r="A10" s="92"/>
      <c r="B10" s="102" t="s">
        <v>51</v>
      </c>
      <c r="C10" s="103" t="s">
        <v>51</v>
      </c>
      <c r="D10" s="104">
        <f>IF('Rejseafregning '!$AF$16=Beregninger!D49,Beregninger!D50,Beregninger!E50)</f>
        <v>455</v>
      </c>
      <c r="F10" s="471" t="s">
        <v>87</v>
      </c>
      <c r="G10" s="472"/>
      <c r="H10" s="473"/>
    </row>
    <row r="11" spans="1:12" ht="12.75" x14ac:dyDescent="0.2">
      <c r="A11" s="92"/>
      <c r="B11" s="102" t="s">
        <v>80</v>
      </c>
      <c r="C11" s="103" t="s">
        <v>94</v>
      </c>
      <c r="D11" s="104">
        <f>IF('Rejseafregning '!$AF$16=Beregninger!D50,Beregninger!D51,Beregninger!E51)</f>
        <v>455</v>
      </c>
      <c r="F11" s="98" t="s">
        <v>83</v>
      </c>
      <c r="G11" s="100" t="s">
        <v>84</v>
      </c>
      <c r="H11" s="101" t="s">
        <v>246</v>
      </c>
    </row>
    <row r="12" spans="1:12" ht="12.75" x14ac:dyDescent="0.2">
      <c r="A12" s="92"/>
      <c r="B12" s="102" t="s">
        <v>61</v>
      </c>
      <c r="C12" s="103" t="s">
        <v>61</v>
      </c>
      <c r="D12" s="104">
        <f>IF('Rejseafregning '!$AF$16=Beregninger!D51,Beregninger!D52,Beregninger!E52)</f>
        <v>344</v>
      </c>
      <c r="F12" s="105" t="s">
        <v>85</v>
      </c>
      <c r="G12" s="106">
        <v>1.83</v>
      </c>
      <c r="H12" s="107">
        <v>1.9</v>
      </c>
    </row>
    <row r="13" spans="1:12" ht="12.75" x14ac:dyDescent="0.2">
      <c r="A13" s="92"/>
      <c r="B13" s="102" t="s">
        <v>11</v>
      </c>
      <c r="C13" s="103" t="s">
        <v>96</v>
      </c>
      <c r="D13" s="104">
        <f>IF('Rejseafregning '!$AF$16=Beregninger!D52,Beregninger!D53,Beregninger!E53)</f>
        <v>455</v>
      </c>
      <c r="F13" s="108" t="s">
        <v>86</v>
      </c>
      <c r="G13" s="109">
        <v>1.83</v>
      </c>
      <c r="H13" s="110">
        <v>1.9</v>
      </c>
    </row>
    <row r="14" spans="1:12" ht="12.75" x14ac:dyDescent="0.2">
      <c r="A14" s="92"/>
      <c r="B14" s="111" t="s">
        <v>62</v>
      </c>
      <c r="C14" s="112" t="s">
        <v>62</v>
      </c>
      <c r="D14" s="113">
        <f>IF('Rejseafregning '!$AF$16=Beregninger!D53,Beregninger!D54,Beregninger!E54)</f>
        <v>189</v>
      </c>
    </row>
    <row r="15" spans="1:12" ht="12.75" x14ac:dyDescent="0.2">
      <c r="A15" s="92"/>
      <c r="B15" s="102" t="s">
        <v>52</v>
      </c>
      <c r="C15" s="103" t="s">
        <v>52</v>
      </c>
      <c r="D15" s="104">
        <f>IF('Rejseafregning '!$AF$16=Beregninger!D54,Beregninger!D55,Beregninger!E55)</f>
        <v>260</v>
      </c>
    </row>
    <row r="16" spans="1:12" ht="12.75" x14ac:dyDescent="0.2">
      <c r="A16" s="92"/>
      <c r="B16" s="102" t="s">
        <v>53</v>
      </c>
      <c r="C16" s="103" t="s">
        <v>97</v>
      </c>
      <c r="D16" s="104">
        <f>IF('Rejseafregning '!$AF$16=Beregninger!D55,Beregninger!D56,Beregninger!E56)</f>
        <v>455</v>
      </c>
    </row>
    <row r="17" spans="1:8" ht="15" x14ac:dyDescent="0.25">
      <c r="A17" s="92"/>
      <c r="B17" s="102" t="s">
        <v>12</v>
      </c>
      <c r="C17" s="103" t="s">
        <v>98</v>
      </c>
      <c r="D17" s="104">
        <f>IF('Rejseafregning '!$AF$16=Beregninger!D56,Beregninger!D57,Beregninger!E57)</f>
        <v>337</v>
      </c>
      <c r="F17" s="471" t="s">
        <v>91</v>
      </c>
      <c r="G17" s="472"/>
      <c r="H17" s="473"/>
    </row>
    <row r="18" spans="1:8" ht="12.75" x14ac:dyDescent="0.2">
      <c r="A18" s="92"/>
      <c r="B18" s="102" t="s">
        <v>54</v>
      </c>
      <c r="C18" s="103" t="s">
        <v>54</v>
      </c>
      <c r="D18" s="104">
        <f>IF('Rejseafregning '!$AF$16=Beregninger!D57,Beregninger!D58,Beregninger!E58)</f>
        <v>455</v>
      </c>
      <c r="F18" s="98" t="s">
        <v>88</v>
      </c>
      <c r="G18" s="100" t="s">
        <v>84</v>
      </c>
      <c r="H18" s="101" t="s">
        <v>246</v>
      </c>
    </row>
    <row r="19" spans="1:8" ht="12.75" x14ac:dyDescent="0.2">
      <c r="A19" s="92"/>
      <c r="B19" s="111" t="s">
        <v>55</v>
      </c>
      <c r="C19" s="112" t="s">
        <v>55</v>
      </c>
      <c r="D19" s="113">
        <f>IF('Rejseafregning '!$AF$16=Beregninger!D58,Beregninger!D59,Beregninger!E59)</f>
        <v>455</v>
      </c>
      <c r="F19" s="105" t="s">
        <v>5</v>
      </c>
      <c r="G19" s="114">
        <v>0.15</v>
      </c>
      <c r="H19" s="115">
        <v>0.15</v>
      </c>
    </row>
    <row r="20" spans="1:8" ht="12.75" x14ac:dyDescent="0.2">
      <c r="A20" s="92"/>
      <c r="B20" s="102" t="s">
        <v>56</v>
      </c>
      <c r="C20" s="103" t="s">
        <v>56</v>
      </c>
      <c r="D20" s="104">
        <f>IF('Rejseafregning '!$AF$16=Beregninger!D59,Beregninger!D60,Beregninger!E60)</f>
        <v>344</v>
      </c>
      <c r="F20" s="102" t="s">
        <v>6</v>
      </c>
      <c r="G20" s="116">
        <v>0.3</v>
      </c>
      <c r="H20" s="117">
        <v>0.3</v>
      </c>
    </row>
    <row r="21" spans="1:8" ht="12.75" x14ac:dyDescent="0.2">
      <c r="A21" s="92"/>
      <c r="B21" s="102" t="s">
        <v>57</v>
      </c>
      <c r="C21" s="103" t="s">
        <v>57</v>
      </c>
      <c r="D21" s="104">
        <f>IF('Rejseafregning '!$AF$16=Beregninger!D60,Beregninger!D61,Beregninger!E61)</f>
        <v>363</v>
      </c>
      <c r="F21" s="108" t="s">
        <v>7</v>
      </c>
      <c r="G21" s="118">
        <v>0.3</v>
      </c>
      <c r="H21" s="119">
        <v>0.3</v>
      </c>
    </row>
    <row r="22" spans="1:8" ht="12.75" x14ac:dyDescent="0.2">
      <c r="A22" s="92"/>
      <c r="B22" s="102" t="s">
        <v>13</v>
      </c>
      <c r="C22" s="103" t="s">
        <v>101</v>
      </c>
      <c r="D22" s="104">
        <f>IF('Rejseafregning '!$AF$16=Beregninger!D61,Beregninger!D62,Beregninger!E62)</f>
        <v>455</v>
      </c>
    </row>
    <row r="23" spans="1:8" ht="12.75" x14ac:dyDescent="0.2">
      <c r="A23" s="92"/>
      <c r="B23" s="102" t="str">
        <f>IF(LANGUAGE="English","Denmark","Danmark")</f>
        <v>Denmark</v>
      </c>
      <c r="C23" s="102" t="str">
        <f>IF(LANGUAGE="English","Denmark","Danmark")</f>
        <v>Denmark</v>
      </c>
      <c r="D23" s="104">
        <f>IF('Rejseafregning '!$AF$16=Beregninger!D62,Beregninger!D63,Beregninger!E63)</f>
        <v>390</v>
      </c>
    </row>
    <row r="24" spans="1:8" ht="12.75" x14ac:dyDescent="0.2">
      <c r="A24" s="92"/>
      <c r="B24" s="111" t="s">
        <v>104</v>
      </c>
      <c r="C24" s="112" t="s">
        <v>105</v>
      </c>
      <c r="D24" s="113">
        <f>IF('Rejseafregning '!$AF$16=Beregninger!D63,Beregninger!D64,Beregninger!E64)</f>
        <v>347</v>
      </c>
    </row>
    <row r="25" spans="1:8" ht="15" x14ac:dyDescent="0.25">
      <c r="A25" s="92"/>
      <c r="B25" s="102" t="s">
        <v>42</v>
      </c>
      <c r="C25" s="103" t="s">
        <v>100</v>
      </c>
      <c r="D25" s="104">
        <f>IF('Rejseafregning '!$AF$16=Beregninger!D64,Beregninger!D65,Beregninger!E65)</f>
        <v>455</v>
      </c>
      <c r="F25" s="471" t="s">
        <v>89</v>
      </c>
      <c r="G25" s="472"/>
      <c r="H25" s="473"/>
    </row>
    <row r="26" spans="1:8" ht="12.75" x14ac:dyDescent="0.2">
      <c r="A26" s="92"/>
      <c r="B26" s="102" t="s">
        <v>14</v>
      </c>
      <c r="C26" s="103" t="s">
        <v>106</v>
      </c>
      <c r="D26" s="104">
        <f>IF('Rejseafregning '!$AF$16=Beregninger!D65,Beregninger!D66,Beregninger!E66)</f>
        <v>455</v>
      </c>
      <c r="F26" s="98" t="s">
        <v>92</v>
      </c>
      <c r="G26" s="100" t="s">
        <v>84</v>
      </c>
      <c r="H26" s="101" t="s">
        <v>246</v>
      </c>
    </row>
    <row r="27" spans="1:8" ht="12.75" x14ac:dyDescent="0.2">
      <c r="A27" s="92"/>
      <c r="B27" s="102" t="s">
        <v>63</v>
      </c>
      <c r="C27" s="103" t="s">
        <v>127</v>
      </c>
      <c r="D27" s="104">
        <f>IF('Rejseafregning '!$AF$16=Beregninger!D66,Beregninger!D67,Beregninger!E67)</f>
        <v>455</v>
      </c>
      <c r="F27" s="120" t="s">
        <v>90</v>
      </c>
      <c r="G27" s="121">
        <v>189</v>
      </c>
      <c r="H27" s="122">
        <v>195</v>
      </c>
    </row>
    <row r="28" spans="1:8" ht="12.75" x14ac:dyDescent="0.2">
      <c r="A28" s="92"/>
      <c r="B28" s="102" t="s">
        <v>15</v>
      </c>
      <c r="C28" s="103" t="s">
        <v>15</v>
      </c>
      <c r="D28" s="104">
        <f>IF('Rejseafregning '!$AF$16=Beregninger!D67,Beregninger!D68,Beregninger!E68)</f>
        <v>455</v>
      </c>
    </row>
    <row r="29" spans="1:8" ht="12.75" x14ac:dyDescent="0.2">
      <c r="A29" s="92"/>
      <c r="B29" s="111" t="s">
        <v>143</v>
      </c>
      <c r="C29" s="112" t="s">
        <v>144</v>
      </c>
      <c r="D29" s="113">
        <f>IF('Rejseafregning '!$AF$16=Beregninger!D68,Beregninger!D69,Beregninger!E69)</f>
        <v>455</v>
      </c>
    </row>
    <row r="30" spans="1:8" ht="12.75" x14ac:dyDescent="0.2">
      <c r="A30" s="92"/>
      <c r="B30" s="102" t="s">
        <v>16</v>
      </c>
      <c r="C30" s="103" t="s">
        <v>107</v>
      </c>
      <c r="D30" s="104">
        <f>IF('Rejseafregning '!$AF$16=Beregninger!D69,Beregninger!D70,Beregninger!E70)</f>
        <v>455</v>
      </c>
    </row>
    <row r="31" spans="1:8" ht="12.75" x14ac:dyDescent="0.2">
      <c r="A31" s="92"/>
      <c r="B31" s="102" t="s">
        <v>17</v>
      </c>
      <c r="C31" s="103" t="s">
        <v>110</v>
      </c>
      <c r="D31" s="104">
        <f>IF('Rejseafregning '!$AF$16=Beregninger!D70,Beregninger!D71,Beregninger!E71)</f>
        <v>455</v>
      </c>
    </row>
    <row r="32" spans="1:8" ht="12.75" x14ac:dyDescent="0.2">
      <c r="A32" s="92"/>
      <c r="B32" s="102" t="s">
        <v>18</v>
      </c>
      <c r="C32" s="103" t="s">
        <v>111</v>
      </c>
      <c r="D32" s="104">
        <f>IF('Rejseafregning '!$AF$16=Beregninger!D71,Beregninger!D72,Beregninger!E72)</f>
        <v>455</v>
      </c>
    </row>
    <row r="33" spans="1:4" ht="12.75" x14ac:dyDescent="0.2">
      <c r="A33" s="92"/>
      <c r="B33" s="102" t="s">
        <v>19</v>
      </c>
      <c r="C33" s="103" t="s">
        <v>125</v>
      </c>
      <c r="D33" s="104">
        <f>IF('Rejseafregning '!$AF$16=Beregninger!D72,Beregninger!D73,Beregninger!E73)</f>
        <v>455</v>
      </c>
    </row>
    <row r="34" spans="1:4" ht="12.75" x14ac:dyDescent="0.2">
      <c r="A34" s="92"/>
      <c r="B34" s="111" t="s">
        <v>81</v>
      </c>
      <c r="C34" s="112" t="s">
        <v>112</v>
      </c>
      <c r="D34" s="113">
        <f>IF('Rejseafregning '!$AF$16=Beregninger!D73,Beregninger!D74,Beregninger!E74)</f>
        <v>455</v>
      </c>
    </row>
    <row r="35" spans="1:4" ht="12.75" x14ac:dyDescent="0.2">
      <c r="A35" s="92"/>
      <c r="B35" s="102" t="s">
        <v>64</v>
      </c>
      <c r="C35" s="103" t="s">
        <v>115</v>
      </c>
      <c r="D35" s="104">
        <f>IF('Rejseafregning '!$AF$16=Beregninger!D74,Beregninger!D75,Beregninger!E75)</f>
        <v>250</v>
      </c>
    </row>
    <row r="36" spans="1:4" ht="12.75" x14ac:dyDescent="0.2">
      <c r="A36" s="92"/>
      <c r="B36" s="102" t="s">
        <v>65</v>
      </c>
      <c r="C36" s="103" t="s">
        <v>116</v>
      </c>
      <c r="D36" s="104">
        <f>IF('Rejseafregning '!$AF$16=Beregninger!D75,Beregninger!D76,Beregninger!E76)</f>
        <v>455</v>
      </c>
    </row>
    <row r="37" spans="1:4" ht="12.75" x14ac:dyDescent="0.2">
      <c r="A37" s="92"/>
      <c r="B37" s="102" t="s">
        <v>66</v>
      </c>
      <c r="C37" s="103" t="s">
        <v>117</v>
      </c>
      <c r="D37" s="104">
        <f>IF('Rejseafregning '!$AF$16=Beregninger!D76,Beregninger!D77,Beregninger!E77)</f>
        <v>260</v>
      </c>
    </row>
    <row r="38" spans="1:4" ht="12.75" x14ac:dyDescent="0.2">
      <c r="A38" s="92"/>
      <c r="B38" s="102" t="s">
        <v>20</v>
      </c>
      <c r="C38" s="103" t="s">
        <v>118</v>
      </c>
      <c r="D38" s="104">
        <f>IF('Rejseafregning '!$AF$16=Beregninger!D77,Beregninger!D78,Beregninger!E78)</f>
        <v>445</v>
      </c>
    </row>
    <row r="39" spans="1:4" ht="12.75" x14ac:dyDescent="0.2">
      <c r="A39" s="92"/>
      <c r="B39" s="111" t="s">
        <v>21</v>
      </c>
      <c r="C39" s="112" t="s">
        <v>114</v>
      </c>
      <c r="D39" s="113">
        <f>IF('Rejseafregning '!$AF$16=Beregninger!D78,Beregninger!D79,Beregninger!E79)</f>
        <v>455</v>
      </c>
    </row>
    <row r="40" spans="1:4" ht="12.75" x14ac:dyDescent="0.2">
      <c r="A40" s="92"/>
      <c r="B40" s="102" t="s">
        <v>67</v>
      </c>
      <c r="C40" s="103" t="s">
        <v>67</v>
      </c>
      <c r="D40" s="104">
        <f>IF('Rejseafregning '!$AF$16=Beregninger!D79,Beregninger!D80,Beregninger!E80)</f>
        <v>455</v>
      </c>
    </row>
    <row r="41" spans="1:4" ht="12.75" x14ac:dyDescent="0.2">
      <c r="A41" s="92"/>
      <c r="B41" s="102" t="s">
        <v>22</v>
      </c>
      <c r="C41" s="103" t="s">
        <v>119</v>
      </c>
      <c r="D41" s="104">
        <f>IF('Rejseafregning '!$AF$16=Beregninger!D80,Beregninger!D81,Beregninger!E81)</f>
        <v>455</v>
      </c>
    </row>
    <row r="42" spans="1:4" ht="12.75" x14ac:dyDescent="0.2">
      <c r="A42" s="92"/>
      <c r="B42" s="102" t="s">
        <v>68</v>
      </c>
      <c r="C42" s="103" t="s">
        <v>68</v>
      </c>
      <c r="D42" s="104">
        <f>IF('Rejseafregning '!$AF$16=Beregninger!D81,Beregninger!D82,Beregninger!E82)</f>
        <v>455</v>
      </c>
    </row>
    <row r="43" spans="1:4" ht="12.75" x14ac:dyDescent="0.2">
      <c r="A43" s="92"/>
      <c r="B43" s="102" t="s">
        <v>69</v>
      </c>
      <c r="C43" s="103" t="s">
        <v>69</v>
      </c>
      <c r="D43" s="104">
        <f>IF('Rejseafregning '!$AF$16=Beregninger!D82,Beregninger!D83,Beregninger!E83)</f>
        <v>455</v>
      </c>
    </row>
    <row r="44" spans="1:4" ht="12.75" x14ac:dyDescent="0.2">
      <c r="A44" s="92"/>
      <c r="B44" s="111" t="s">
        <v>43</v>
      </c>
      <c r="C44" s="112" t="s">
        <v>43</v>
      </c>
      <c r="D44" s="113">
        <f>IF('Rejseafregning '!$AF$16=Beregninger!D83,Beregninger!D84,Beregninger!E84)</f>
        <v>455</v>
      </c>
    </row>
    <row r="45" spans="1:4" ht="12.75" x14ac:dyDescent="0.2">
      <c r="A45" s="92"/>
      <c r="B45" s="102" t="s">
        <v>70</v>
      </c>
      <c r="C45" s="103" t="s">
        <v>99</v>
      </c>
      <c r="D45" s="104">
        <f>IF('Rejseafregning '!$AF$16=Beregninger!D84,Beregninger!D85,Beregninger!E85)</f>
        <v>455</v>
      </c>
    </row>
    <row r="46" spans="1:4" ht="12.75" x14ac:dyDescent="0.2">
      <c r="A46" s="92"/>
      <c r="B46" s="102" t="s">
        <v>71</v>
      </c>
      <c r="C46" s="103" t="s">
        <v>71</v>
      </c>
      <c r="D46" s="104">
        <f>IF('Rejseafregning '!$AF$16=Beregninger!D85,Beregninger!D86,Beregninger!E86)</f>
        <v>455</v>
      </c>
    </row>
    <row r="47" spans="1:4" ht="12.75" x14ac:dyDescent="0.2">
      <c r="A47" s="92"/>
      <c r="B47" s="102" t="s">
        <v>23</v>
      </c>
      <c r="C47" s="103" t="s">
        <v>122</v>
      </c>
      <c r="D47" s="104">
        <f>IF('Rejseafregning '!$AF$16=Beregninger!D86,Beregninger!D87,Beregninger!E87)</f>
        <v>455</v>
      </c>
    </row>
    <row r="48" spans="1:4" ht="12.75" x14ac:dyDescent="0.2">
      <c r="A48" s="92"/>
      <c r="B48" s="102" t="s">
        <v>24</v>
      </c>
      <c r="C48" s="103" t="s">
        <v>123</v>
      </c>
      <c r="D48" s="104">
        <f>IF('Rejseafregning '!$AF$16=Beregninger!D87,Beregninger!D88,Beregninger!E88)</f>
        <v>455</v>
      </c>
    </row>
    <row r="49" spans="1:4" ht="12.75" x14ac:dyDescent="0.2">
      <c r="A49" s="92"/>
      <c r="B49" s="111" t="s">
        <v>25</v>
      </c>
      <c r="C49" s="112" t="s">
        <v>25</v>
      </c>
      <c r="D49" s="113">
        <f>IF('Rejseafregning '!$AF$16=Beregninger!D88,Beregninger!D89,Beregninger!E89)</f>
        <v>455</v>
      </c>
    </row>
    <row r="50" spans="1:4" ht="12.75" x14ac:dyDescent="0.2">
      <c r="A50" s="92"/>
      <c r="B50" s="102" t="s">
        <v>72</v>
      </c>
      <c r="C50" s="103" t="s">
        <v>72</v>
      </c>
      <c r="D50" s="104">
        <f>IF('Rejseafregning '!$AF$16=Beregninger!D89,Beregninger!D90,Beregninger!E90)</f>
        <v>255</v>
      </c>
    </row>
    <row r="51" spans="1:4" ht="12.75" x14ac:dyDescent="0.2">
      <c r="A51" s="92"/>
      <c r="B51" s="102" t="s">
        <v>44</v>
      </c>
      <c r="C51" s="103" t="s">
        <v>124</v>
      </c>
      <c r="D51" s="104">
        <f>IF('Rejseafregning '!$AF$16=Beregninger!D90,Beregninger!D91,Beregninger!E91)</f>
        <v>455</v>
      </c>
    </row>
    <row r="52" spans="1:4" ht="12.75" x14ac:dyDescent="0.2">
      <c r="A52" s="92"/>
      <c r="B52" s="102" t="s">
        <v>58</v>
      </c>
      <c r="C52" s="103" t="s">
        <v>58</v>
      </c>
      <c r="D52" s="104">
        <f>IF('Rejseafregning '!$AF$16=Beregninger!D91,Beregninger!D92,Beregninger!E92)</f>
        <v>455</v>
      </c>
    </row>
    <row r="53" spans="1:4" ht="12.75" x14ac:dyDescent="0.2">
      <c r="A53" s="92"/>
      <c r="B53" s="102" t="s">
        <v>45</v>
      </c>
      <c r="C53" s="103" t="s">
        <v>45</v>
      </c>
      <c r="D53" s="104">
        <f>IF('Rejseafregning '!$AF$16=Beregninger!D92,Beregninger!D93,Beregninger!E93)</f>
        <v>302</v>
      </c>
    </row>
    <row r="54" spans="1:4" ht="12.75" x14ac:dyDescent="0.2">
      <c r="A54" s="92"/>
      <c r="B54" s="111" t="s">
        <v>73</v>
      </c>
      <c r="C54" s="112" t="s">
        <v>73</v>
      </c>
      <c r="D54" s="113">
        <f>IF('Rejseafregning '!$AF$16=Beregninger!D93,Beregninger!D94,Beregninger!E94)</f>
        <v>211</v>
      </c>
    </row>
    <row r="55" spans="1:4" ht="12.75" x14ac:dyDescent="0.2">
      <c r="A55" s="92"/>
      <c r="B55" s="102" t="s">
        <v>82</v>
      </c>
      <c r="C55" s="103" t="s">
        <v>82</v>
      </c>
      <c r="D55" s="104">
        <f>IF('Rejseafregning '!$AF$16=Beregninger!D94,Beregninger!D95,Beregninger!E95)</f>
        <v>455</v>
      </c>
    </row>
    <row r="56" spans="1:4" ht="12.75" x14ac:dyDescent="0.2">
      <c r="A56" s="92"/>
      <c r="B56" s="102" t="s">
        <v>26</v>
      </c>
      <c r="C56" s="103" t="s">
        <v>126</v>
      </c>
      <c r="D56" s="104">
        <f>IF('Rejseafregning '!$AF$16=Beregninger!D95,Beregninger!D96,Beregninger!E96)</f>
        <v>455</v>
      </c>
    </row>
    <row r="57" spans="1:4" ht="12.75" x14ac:dyDescent="0.2">
      <c r="A57" s="92"/>
      <c r="B57" s="102" t="s">
        <v>74</v>
      </c>
      <c r="C57" s="103" t="s">
        <v>74</v>
      </c>
      <c r="D57" s="104">
        <f>IF('Rejseafregning '!$AF$16=Beregninger!D96,Beregninger!D97,Beregninger!E97)</f>
        <v>455</v>
      </c>
    </row>
    <row r="58" spans="1:4" ht="12.75" x14ac:dyDescent="0.2">
      <c r="A58" s="92"/>
      <c r="B58" s="102" t="s">
        <v>75</v>
      </c>
      <c r="C58" s="103" t="s">
        <v>75</v>
      </c>
      <c r="D58" s="104">
        <f>IF('Rejseafregning '!$AF$16=Beregninger!D97,Beregninger!D98,Beregninger!E98)</f>
        <v>214</v>
      </c>
    </row>
    <row r="59" spans="1:4" ht="12.75" x14ac:dyDescent="0.2">
      <c r="A59" s="92"/>
      <c r="B59" s="111" t="s">
        <v>27</v>
      </c>
      <c r="C59" s="112" t="s">
        <v>128</v>
      </c>
      <c r="D59" s="113">
        <f>IF('Rejseafregning '!$AF$16=Beregninger!D98,Beregninger!D99,Beregninger!E99)</f>
        <v>455</v>
      </c>
    </row>
    <row r="60" spans="1:4" ht="12.75" x14ac:dyDescent="0.2">
      <c r="A60" s="92"/>
      <c r="B60" s="102" t="s">
        <v>28</v>
      </c>
      <c r="C60" s="103" t="s">
        <v>28</v>
      </c>
      <c r="D60" s="104">
        <f>IF('Rejseafregning '!$AF$16=Beregninger!D99,Beregninger!D100,Beregninger!E100)</f>
        <v>455</v>
      </c>
    </row>
    <row r="61" spans="1:4" ht="12.75" x14ac:dyDescent="0.2">
      <c r="A61" s="92"/>
      <c r="B61" s="102" t="s">
        <v>76</v>
      </c>
      <c r="C61" s="103" t="s">
        <v>76</v>
      </c>
      <c r="D61" s="104">
        <f>IF('Rejseafregning '!$AF$16=Beregninger!D100,Beregninger!D101,Beregninger!E101)</f>
        <v>455</v>
      </c>
    </row>
    <row r="62" spans="1:4" ht="12.75" x14ac:dyDescent="0.2">
      <c r="A62" s="92"/>
      <c r="B62" s="102" t="s">
        <v>29</v>
      </c>
      <c r="C62" s="103" t="s">
        <v>129</v>
      </c>
      <c r="D62" s="104">
        <f>IF('Rejseafregning '!$AF$16=Beregninger!D101,Beregninger!D102,Beregninger!E102)</f>
        <v>455</v>
      </c>
    </row>
    <row r="63" spans="1:4" ht="12.75" x14ac:dyDescent="0.2">
      <c r="A63" s="92"/>
      <c r="B63" s="102" t="s">
        <v>30</v>
      </c>
      <c r="C63" s="103" t="s">
        <v>130</v>
      </c>
      <c r="D63" s="104">
        <f>IF('Rejseafregning '!$AF$16=Beregninger!D102,Beregninger!D103,Beregninger!E103)</f>
        <v>455</v>
      </c>
    </row>
    <row r="64" spans="1:4" ht="12.75" x14ac:dyDescent="0.2">
      <c r="A64" s="92"/>
      <c r="B64" s="111" t="s">
        <v>131</v>
      </c>
      <c r="C64" s="112" t="s">
        <v>132</v>
      </c>
      <c r="D64" s="113">
        <f>IF('Rejseafregning '!$AF$16=Beregninger!D103,Beregninger!D104,Beregninger!E104)</f>
        <v>455</v>
      </c>
    </row>
    <row r="65" spans="1:4" ht="12.75" x14ac:dyDescent="0.2">
      <c r="A65" s="92"/>
      <c r="B65" s="102" t="s">
        <v>31</v>
      </c>
      <c r="C65" s="103" t="s">
        <v>137</v>
      </c>
      <c r="D65" s="144">
        <f>IF('Rejseafregning '!$AF$16=Beregninger!D104,Beregninger!D105,Beregninger!E105)</f>
        <v>455</v>
      </c>
    </row>
    <row r="66" spans="1:4" ht="12.75" x14ac:dyDescent="0.2">
      <c r="A66" s="92"/>
      <c r="B66" s="102" t="s">
        <v>77</v>
      </c>
      <c r="C66" s="103" t="s">
        <v>77</v>
      </c>
      <c r="D66" s="104">
        <f>IF('Rejseafregning '!$AF$16=Beregninger!D105,Beregninger!D106,Beregninger!E106)</f>
        <v>455</v>
      </c>
    </row>
    <row r="67" spans="1:4" ht="12.75" x14ac:dyDescent="0.2">
      <c r="A67" s="92"/>
      <c r="B67" s="102" t="s">
        <v>32</v>
      </c>
      <c r="C67" s="103" t="s">
        <v>133</v>
      </c>
      <c r="D67" s="104">
        <f>IF('Rejseafregning '!$AF$16=Beregninger!D106,Beregninger!D107,Beregninger!E107)</f>
        <v>322</v>
      </c>
    </row>
    <row r="68" spans="1:4" ht="12.75" x14ac:dyDescent="0.2">
      <c r="A68" s="92"/>
      <c r="B68" s="102" t="s">
        <v>33</v>
      </c>
      <c r="C68" s="103" t="s">
        <v>135</v>
      </c>
      <c r="D68" s="104">
        <f>IF('Rejseafregning '!$AF$16=Beregninger!D107,Beregninger!D108,Beregninger!E108)</f>
        <v>455</v>
      </c>
    </row>
    <row r="69" spans="1:4" ht="12.75" x14ac:dyDescent="0.2">
      <c r="A69" s="92"/>
      <c r="B69" s="111" t="s">
        <v>34</v>
      </c>
      <c r="C69" s="112" t="s">
        <v>109</v>
      </c>
      <c r="D69" s="113">
        <f>IF('Rejseafregning '!$AF$16=Beregninger!D108,Beregninger!D109,Beregninger!E109)</f>
        <v>455</v>
      </c>
    </row>
    <row r="70" spans="1:4" ht="12.75" x14ac:dyDescent="0.2">
      <c r="A70" s="92"/>
      <c r="B70" s="102" t="s">
        <v>35</v>
      </c>
      <c r="C70" s="103" t="s">
        <v>136</v>
      </c>
      <c r="D70" s="104">
        <f>IF('Rejseafregning '!$AF$16=Beregninger!D109,Beregninger!D110,Beregninger!E110)</f>
        <v>455</v>
      </c>
    </row>
    <row r="71" spans="1:4" ht="12.75" x14ac:dyDescent="0.2">
      <c r="A71" s="92"/>
      <c r="B71" s="102" t="s">
        <v>46</v>
      </c>
      <c r="C71" s="103" t="s">
        <v>134</v>
      </c>
      <c r="D71" s="104">
        <f>IF('Rejseafregning '!$AF$16=Beregninger!D110,Beregninger!D111,Beregninger!E111)</f>
        <v>250</v>
      </c>
    </row>
    <row r="72" spans="1:4" ht="12.75" x14ac:dyDescent="0.2">
      <c r="A72" s="92"/>
      <c r="B72" s="102" t="s">
        <v>120</v>
      </c>
      <c r="C72" s="103" t="s">
        <v>121</v>
      </c>
      <c r="D72" s="104">
        <f>IF('Rejseafregning '!$AF$16=Beregninger!D111,Beregninger!D112,Beregninger!E112)</f>
        <v>455</v>
      </c>
    </row>
    <row r="73" spans="1:4" ht="12.75" x14ac:dyDescent="0.2">
      <c r="A73" s="92"/>
      <c r="B73" s="102" t="s">
        <v>78</v>
      </c>
      <c r="C73" s="103" t="s">
        <v>138</v>
      </c>
      <c r="D73" s="104">
        <f>IF('Rejseafregning '!$AF$16=Beregninger!D112,Beregninger!D113,Beregninger!E113)</f>
        <v>455</v>
      </c>
    </row>
    <row r="74" spans="1:4" ht="12.75" x14ac:dyDescent="0.2">
      <c r="A74" s="92"/>
      <c r="B74" s="111" t="s">
        <v>47</v>
      </c>
      <c r="C74" s="112" t="s">
        <v>139</v>
      </c>
      <c r="D74" s="113">
        <f>IF('Rejseafregning '!$AF$16=Beregninger!D113,Beregninger!D114,Beregninger!E114)</f>
        <v>455</v>
      </c>
    </row>
    <row r="75" spans="1:4" ht="12.75" x14ac:dyDescent="0.2">
      <c r="A75" s="92"/>
      <c r="B75" s="102" t="s">
        <v>79</v>
      </c>
      <c r="C75" s="103" t="s">
        <v>79</v>
      </c>
      <c r="D75" s="104">
        <f>IF('Rejseafregning '!$AF$16=Beregninger!D114,Beregninger!D115,Beregninger!E115)</f>
        <v>311</v>
      </c>
    </row>
    <row r="76" spans="1:4" ht="12.75" x14ac:dyDescent="0.2">
      <c r="A76" s="92"/>
      <c r="B76" s="102" t="s">
        <v>36</v>
      </c>
      <c r="C76" s="103" t="s">
        <v>102</v>
      </c>
      <c r="D76" s="104">
        <f>IF('Rejseafregning '!$AF$16=Beregninger!D115,Beregninger!D116,Beregninger!E116)</f>
        <v>455</v>
      </c>
    </row>
    <row r="77" spans="1:4" ht="12.75" x14ac:dyDescent="0.2">
      <c r="A77" s="92"/>
      <c r="B77" s="102" t="s">
        <v>48</v>
      </c>
      <c r="C77" s="103" t="s">
        <v>140</v>
      </c>
      <c r="D77" s="104">
        <f>IF('Rejseafregning '!$AF$16=Beregninger!D116,Beregninger!D117,Beregninger!E117)</f>
        <v>357</v>
      </c>
    </row>
    <row r="78" spans="1:4" ht="12.75" x14ac:dyDescent="0.2">
      <c r="A78" s="92"/>
      <c r="B78" s="102" t="s">
        <v>37</v>
      </c>
      <c r="C78" s="103" t="s">
        <v>141</v>
      </c>
      <c r="D78" s="104">
        <f>IF('Rejseafregning '!$AF$16=Beregninger!D117,Beregninger!D118,Beregninger!E118)</f>
        <v>455</v>
      </c>
    </row>
    <row r="79" spans="1:4" ht="12.75" x14ac:dyDescent="0.2">
      <c r="A79" s="92"/>
      <c r="B79" s="111" t="s">
        <v>38</v>
      </c>
      <c r="C79" s="112" t="s">
        <v>108</v>
      </c>
      <c r="D79" s="113">
        <f>IF('Rejseafregning '!$AF$16=Beregninger!D118,Beregninger!D119,Beregninger!E119)</f>
        <v>455</v>
      </c>
    </row>
    <row r="80" spans="1:4" ht="12.75" x14ac:dyDescent="0.2">
      <c r="A80" s="92"/>
      <c r="B80" s="102" t="s">
        <v>39</v>
      </c>
      <c r="C80" s="103" t="s">
        <v>142</v>
      </c>
      <c r="D80" s="104">
        <f>IF('Rejseafregning '!$AF$16=Beregninger!D119,Beregninger!D120,Beregninger!E120)</f>
        <v>455</v>
      </c>
    </row>
    <row r="81" spans="1:4" ht="12.75" x14ac:dyDescent="0.2">
      <c r="A81" s="92"/>
      <c r="B81" s="102" t="s">
        <v>40</v>
      </c>
      <c r="C81" s="103" t="s">
        <v>113</v>
      </c>
      <c r="D81" s="104">
        <f>IF('Rejseafregning '!$AF$16=Beregninger!D120,Beregninger!D121,Beregninger!E121)</f>
        <v>455</v>
      </c>
    </row>
    <row r="82" spans="1:4" ht="12.75" x14ac:dyDescent="0.2">
      <c r="A82" s="92"/>
      <c r="B82" s="102" t="s">
        <v>59</v>
      </c>
      <c r="C82" s="103" t="s">
        <v>145</v>
      </c>
      <c r="D82" s="104">
        <f>IF('Rejseafregning '!$AF$16=Beregninger!D121,Beregninger!D122,Beregninger!E122)</f>
        <v>455</v>
      </c>
    </row>
    <row r="83" spans="1:4" ht="12.75" x14ac:dyDescent="0.2">
      <c r="A83" s="92"/>
      <c r="B83" s="102" t="s">
        <v>60</v>
      </c>
      <c r="C83" s="103" t="s">
        <v>146</v>
      </c>
      <c r="D83" s="104">
        <f>IF('Rejseafregning '!$AF$16=Beregninger!D122,Beregninger!D123,Beregninger!E123)</f>
        <v>455</v>
      </c>
    </row>
    <row r="84" spans="1:4" ht="12.75" x14ac:dyDescent="0.2">
      <c r="A84" s="92"/>
      <c r="B84" s="111" t="s">
        <v>49</v>
      </c>
      <c r="C84" s="112" t="s">
        <v>49</v>
      </c>
      <c r="D84" s="113">
        <f>IF('Rejseafregning '!$AF$16=Beregninger!D123,Beregninger!D124,Beregninger!E124)</f>
        <v>344</v>
      </c>
    </row>
    <row r="85" spans="1:4" ht="12.75" x14ac:dyDescent="0.2">
      <c r="A85" s="92"/>
      <c r="B85" s="102" t="s">
        <v>50</v>
      </c>
      <c r="C85" s="103" t="s">
        <v>50</v>
      </c>
      <c r="D85" s="104">
        <f>IF('Rejseafregning '!$AF$16=Beregninger!D124,Beregninger!D125,Beregninger!E125)</f>
        <v>260</v>
      </c>
    </row>
    <row r="86" spans="1:4" ht="12.75" x14ac:dyDescent="0.2">
      <c r="A86" s="92"/>
      <c r="B86" s="102" t="s">
        <v>41</v>
      </c>
      <c r="C86" s="103" t="s">
        <v>95</v>
      </c>
      <c r="D86" s="104">
        <f>IF('Rejseafregning '!$AF$16=Beregninger!D125,Beregninger!D126,Beregninger!E126)</f>
        <v>455</v>
      </c>
    </row>
    <row r="87" spans="1:4" ht="12.75" x14ac:dyDescent="0.2">
      <c r="A87" s="92"/>
      <c r="B87" s="123" t="s">
        <v>147</v>
      </c>
      <c r="C87" s="124" t="s">
        <v>148</v>
      </c>
      <c r="D87" s="125">
        <f>IF('Rejseafregning '!$AF$16=Beregninger!D126,Beregninger!D127,Beregninger!E127)</f>
        <v>455</v>
      </c>
    </row>
    <row r="88" spans="1:4" ht="12.75" x14ac:dyDescent="0.2">
      <c r="B88" s="126" t="s">
        <v>51</v>
      </c>
      <c r="C88" s="126" t="s">
        <v>51</v>
      </c>
      <c r="D88" s="145">
        <f>D10</f>
        <v>455</v>
      </c>
    </row>
    <row r="89" spans="1:4" ht="12.75" x14ac:dyDescent="0.2">
      <c r="B89" s="127" t="s">
        <v>94</v>
      </c>
      <c r="C89" s="127" t="s">
        <v>80</v>
      </c>
      <c r="D89" s="145">
        <f t="shared" ref="D89:D152" si="0">D11</f>
        <v>455</v>
      </c>
    </row>
    <row r="90" spans="1:4" ht="12.75" x14ac:dyDescent="0.2">
      <c r="B90" s="127" t="s">
        <v>61</v>
      </c>
      <c r="C90" s="127" t="s">
        <v>61</v>
      </c>
      <c r="D90" s="145">
        <f t="shared" si="0"/>
        <v>344</v>
      </c>
    </row>
    <row r="91" spans="1:4" ht="12.75" x14ac:dyDescent="0.2">
      <c r="B91" s="127" t="s">
        <v>96</v>
      </c>
      <c r="C91" s="127" t="s">
        <v>11</v>
      </c>
      <c r="D91" s="145">
        <f t="shared" si="0"/>
        <v>455</v>
      </c>
    </row>
    <row r="92" spans="1:4" ht="12.75" x14ac:dyDescent="0.2">
      <c r="B92" s="127" t="s">
        <v>62</v>
      </c>
      <c r="C92" s="127" t="s">
        <v>62</v>
      </c>
      <c r="D92" s="145">
        <f t="shared" si="0"/>
        <v>189</v>
      </c>
    </row>
    <row r="93" spans="1:4" ht="12.75" x14ac:dyDescent="0.2">
      <c r="B93" s="127" t="s">
        <v>52</v>
      </c>
      <c r="C93" s="127" t="s">
        <v>52</v>
      </c>
      <c r="D93" s="145">
        <f t="shared" si="0"/>
        <v>260</v>
      </c>
    </row>
    <row r="94" spans="1:4" ht="12.75" x14ac:dyDescent="0.2">
      <c r="B94" s="127" t="s">
        <v>97</v>
      </c>
      <c r="C94" s="127" t="s">
        <v>53</v>
      </c>
      <c r="D94" s="145">
        <f t="shared" si="0"/>
        <v>455</v>
      </c>
    </row>
    <row r="95" spans="1:4" ht="12.75" x14ac:dyDescent="0.2">
      <c r="B95" s="127" t="s">
        <v>98</v>
      </c>
      <c r="C95" s="127" t="s">
        <v>12</v>
      </c>
      <c r="D95" s="145">
        <f t="shared" si="0"/>
        <v>337</v>
      </c>
    </row>
    <row r="96" spans="1:4" ht="12.75" x14ac:dyDescent="0.2">
      <c r="B96" s="127" t="s">
        <v>54</v>
      </c>
      <c r="C96" s="127" t="s">
        <v>54</v>
      </c>
      <c r="D96" s="145">
        <f t="shared" si="0"/>
        <v>455</v>
      </c>
    </row>
    <row r="97" spans="2:4" ht="12.75" x14ac:dyDescent="0.2">
      <c r="B97" s="127" t="s">
        <v>55</v>
      </c>
      <c r="C97" s="127" t="s">
        <v>55</v>
      </c>
      <c r="D97" s="145">
        <f t="shared" si="0"/>
        <v>455</v>
      </c>
    </row>
    <row r="98" spans="2:4" ht="12.75" x14ac:dyDescent="0.2">
      <c r="B98" s="127" t="s">
        <v>56</v>
      </c>
      <c r="C98" s="127" t="s">
        <v>56</v>
      </c>
      <c r="D98" s="145">
        <f t="shared" si="0"/>
        <v>344</v>
      </c>
    </row>
    <row r="99" spans="2:4" ht="12.75" x14ac:dyDescent="0.2">
      <c r="B99" s="127" t="s">
        <v>57</v>
      </c>
      <c r="C99" s="127" t="s">
        <v>57</v>
      </c>
      <c r="D99" s="145">
        <f t="shared" si="0"/>
        <v>363</v>
      </c>
    </row>
    <row r="100" spans="2:4" ht="12.75" x14ac:dyDescent="0.2">
      <c r="B100" s="127" t="s">
        <v>101</v>
      </c>
      <c r="C100" s="127" t="s">
        <v>13</v>
      </c>
      <c r="D100" s="145">
        <f t="shared" si="0"/>
        <v>455</v>
      </c>
    </row>
    <row r="101" spans="2:4" ht="12.75" x14ac:dyDescent="0.2">
      <c r="B101" s="127" t="s">
        <v>103</v>
      </c>
      <c r="C101" s="127" t="s">
        <v>85</v>
      </c>
      <c r="D101" s="145">
        <f t="shared" si="0"/>
        <v>390</v>
      </c>
    </row>
    <row r="102" spans="2:4" ht="12.75" x14ac:dyDescent="0.2">
      <c r="B102" s="127" t="s">
        <v>105</v>
      </c>
      <c r="C102" s="127" t="s">
        <v>104</v>
      </c>
      <c r="D102" s="145">
        <f t="shared" si="0"/>
        <v>347</v>
      </c>
    </row>
    <row r="103" spans="2:4" ht="12.75" x14ac:dyDescent="0.2">
      <c r="B103" s="127" t="s">
        <v>100</v>
      </c>
      <c r="C103" s="127" t="s">
        <v>42</v>
      </c>
      <c r="D103" s="145">
        <f t="shared" si="0"/>
        <v>455</v>
      </c>
    </row>
    <row r="104" spans="2:4" ht="12.75" x14ac:dyDescent="0.2">
      <c r="B104" s="127" t="s">
        <v>106</v>
      </c>
      <c r="C104" s="127" t="s">
        <v>14</v>
      </c>
      <c r="D104" s="145">
        <f t="shared" si="0"/>
        <v>455</v>
      </c>
    </row>
    <row r="105" spans="2:4" ht="12.75" x14ac:dyDescent="0.2">
      <c r="B105" s="127" t="s">
        <v>127</v>
      </c>
      <c r="C105" s="127" t="s">
        <v>63</v>
      </c>
      <c r="D105" s="145">
        <f t="shared" si="0"/>
        <v>455</v>
      </c>
    </row>
    <row r="106" spans="2:4" ht="12.75" x14ac:dyDescent="0.2">
      <c r="B106" s="127" t="s">
        <v>15</v>
      </c>
      <c r="C106" s="127" t="s">
        <v>15</v>
      </c>
      <c r="D106" s="145">
        <f t="shared" si="0"/>
        <v>455</v>
      </c>
    </row>
    <row r="107" spans="2:4" ht="12.75" x14ac:dyDescent="0.2">
      <c r="B107" s="127" t="s">
        <v>144</v>
      </c>
      <c r="C107" s="127" t="s">
        <v>143</v>
      </c>
      <c r="D107" s="145">
        <f t="shared" si="0"/>
        <v>455</v>
      </c>
    </row>
    <row r="108" spans="2:4" ht="12.75" x14ac:dyDescent="0.2">
      <c r="B108" s="127" t="s">
        <v>107</v>
      </c>
      <c r="C108" s="127" t="s">
        <v>16</v>
      </c>
      <c r="D108" s="145">
        <f t="shared" si="0"/>
        <v>455</v>
      </c>
    </row>
    <row r="109" spans="2:4" ht="12.75" x14ac:dyDescent="0.2">
      <c r="B109" s="127" t="s">
        <v>110</v>
      </c>
      <c r="C109" s="127" t="s">
        <v>17</v>
      </c>
      <c r="D109" s="145">
        <f t="shared" si="0"/>
        <v>455</v>
      </c>
    </row>
    <row r="110" spans="2:4" ht="12.75" x14ac:dyDescent="0.2">
      <c r="B110" s="127" t="s">
        <v>111</v>
      </c>
      <c r="C110" s="127" t="s">
        <v>18</v>
      </c>
      <c r="D110" s="145">
        <f t="shared" si="0"/>
        <v>455</v>
      </c>
    </row>
    <row r="111" spans="2:4" ht="12.75" x14ac:dyDescent="0.2">
      <c r="B111" s="127" t="s">
        <v>125</v>
      </c>
      <c r="C111" s="127" t="s">
        <v>19</v>
      </c>
      <c r="D111" s="145">
        <f t="shared" si="0"/>
        <v>455</v>
      </c>
    </row>
    <row r="112" spans="2:4" ht="12.75" x14ac:dyDescent="0.2">
      <c r="B112" s="127" t="s">
        <v>112</v>
      </c>
      <c r="C112" s="127" t="s">
        <v>81</v>
      </c>
      <c r="D112" s="145">
        <f t="shared" si="0"/>
        <v>455</v>
      </c>
    </row>
    <row r="113" spans="2:4" ht="12.75" x14ac:dyDescent="0.2">
      <c r="B113" s="127" t="s">
        <v>115</v>
      </c>
      <c r="C113" s="127" t="s">
        <v>64</v>
      </c>
      <c r="D113" s="145">
        <f t="shared" si="0"/>
        <v>250</v>
      </c>
    </row>
    <row r="114" spans="2:4" ht="12.75" x14ac:dyDescent="0.2">
      <c r="B114" s="127" t="s">
        <v>116</v>
      </c>
      <c r="C114" s="127" t="s">
        <v>65</v>
      </c>
      <c r="D114" s="145">
        <f t="shared" si="0"/>
        <v>455</v>
      </c>
    </row>
    <row r="115" spans="2:4" ht="12.75" x14ac:dyDescent="0.2">
      <c r="B115" s="127" t="s">
        <v>117</v>
      </c>
      <c r="C115" s="127" t="s">
        <v>66</v>
      </c>
      <c r="D115" s="145">
        <f t="shared" si="0"/>
        <v>260</v>
      </c>
    </row>
    <row r="116" spans="2:4" ht="12.75" x14ac:dyDescent="0.2">
      <c r="B116" s="127" t="s">
        <v>118</v>
      </c>
      <c r="C116" s="127" t="s">
        <v>20</v>
      </c>
      <c r="D116" s="145">
        <f t="shared" si="0"/>
        <v>445</v>
      </c>
    </row>
    <row r="117" spans="2:4" ht="12.75" x14ac:dyDescent="0.2">
      <c r="B117" s="127" t="s">
        <v>114</v>
      </c>
      <c r="C117" s="127" t="s">
        <v>21</v>
      </c>
      <c r="D117" s="145">
        <f t="shared" si="0"/>
        <v>455</v>
      </c>
    </row>
    <row r="118" spans="2:4" ht="12.75" x14ac:dyDescent="0.2">
      <c r="B118" s="127" t="s">
        <v>67</v>
      </c>
      <c r="C118" s="127" t="s">
        <v>67</v>
      </c>
      <c r="D118" s="145">
        <f t="shared" si="0"/>
        <v>455</v>
      </c>
    </row>
    <row r="119" spans="2:4" ht="12.75" x14ac:dyDescent="0.2">
      <c r="B119" s="127" t="s">
        <v>119</v>
      </c>
      <c r="C119" s="127" t="s">
        <v>22</v>
      </c>
      <c r="D119" s="145">
        <f t="shared" si="0"/>
        <v>455</v>
      </c>
    </row>
    <row r="120" spans="2:4" ht="12.75" x14ac:dyDescent="0.2">
      <c r="B120" s="127" t="s">
        <v>68</v>
      </c>
      <c r="C120" s="127" t="s">
        <v>68</v>
      </c>
      <c r="D120" s="145">
        <f t="shared" si="0"/>
        <v>455</v>
      </c>
    </row>
    <row r="121" spans="2:4" ht="12.75" x14ac:dyDescent="0.2">
      <c r="B121" s="127" t="s">
        <v>69</v>
      </c>
      <c r="C121" s="127" t="s">
        <v>69</v>
      </c>
      <c r="D121" s="145">
        <f t="shared" si="0"/>
        <v>455</v>
      </c>
    </row>
    <row r="122" spans="2:4" ht="12.75" x14ac:dyDescent="0.2">
      <c r="B122" s="127" t="s">
        <v>43</v>
      </c>
      <c r="C122" s="127" t="s">
        <v>43</v>
      </c>
      <c r="D122" s="145">
        <f t="shared" si="0"/>
        <v>455</v>
      </c>
    </row>
    <row r="123" spans="2:4" ht="12.75" x14ac:dyDescent="0.2">
      <c r="B123" s="127" t="s">
        <v>99</v>
      </c>
      <c r="C123" s="127" t="s">
        <v>70</v>
      </c>
      <c r="D123" s="145">
        <f t="shared" si="0"/>
        <v>455</v>
      </c>
    </row>
    <row r="124" spans="2:4" ht="12.75" x14ac:dyDescent="0.2">
      <c r="B124" s="127" t="s">
        <v>71</v>
      </c>
      <c r="C124" s="127" t="s">
        <v>71</v>
      </c>
      <c r="D124" s="145">
        <f t="shared" si="0"/>
        <v>455</v>
      </c>
    </row>
    <row r="125" spans="2:4" ht="12.75" x14ac:dyDescent="0.2">
      <c r="B125" s="127" t="s">
        <v>122</v>
      </c>
      <c r="C125" s="127" t="s">
        <v>23</v>
      </c>
      <c r="D125" s="145">
        <f t="shared" si="0"/>
        <v>455</v>
      </c>
    </row>
    <row r="126" spans="2:4" ht="12.75" x14ac:dyDescent="0.2">
      <c r="B126" s="127" t="s">
        <v>123</v>
      </c>
      <c r="C126" s="127" t="s">
        <v>24</v>
      </c>
      <c r="D126" s="145">
        <f t="shared" si="0"/>
        <v>455</v>
      </c>
    </row>
    <row r="127" spans="2:4" ht="12.75" x14ac:dyDescent="0.2">
      <c r="B127" s="127" t="s">
        <v>25</v>
      </c>
      <c r="C127" s="127" t="s">
        <v>25</v>
      </c>
      <c r="D127" s="145">
        <f t="shared" si="0"/>
        <v>455</v>
      </c>
    </row>
    <row r="128" spans="2:4" ht="12.75" x14ac:dyDescent="0.2">
      <c r="B128" s="127" t="s">
        <v>72</v>
      </c>
      <c r="C128" s="127" t="s">
        <v>72</v>
      </c>
      <c r="D128" s="145">
        <f t="shared" si="0"/>
        <v>255</v>
      </c>
    </row>
    <row r="129" spans="2:4" ht="12.75" x14ac:dyDescent="0.2">
      <c r="B129" s="127" t="s">
        <v>124</v>
      </c>
      <c r="C129" s="127" t="s">
        <v>44</v>
      </c>
      <c r="D129" s="145">
        <f t="shared" si="0"/>
        <v>455</v>
      </c>
    </row>
    <row r="130" spans="2:4" ht="12.75" x14ac:dyDescent="0.2">
      <c r="B130" s="127" t="s">
        <v>58</v>
      </c>
      <c r="C130" s="127" t="s">
        <v>58</v>
      </c>
      <c r="D130" s="145">
        <f t="shared" si="0"/>
        <v>455</v>
      </c>
    </row>
    <row r="131" spans="2:4" ht="12.75" x14ac:dyDescent="0.2">
      <c r="B131" s="127" t="s">
        <v>45</v>
      </c>
      <c r="C131" s="127" t="s">
        <v>45</v>
      </c>
      <c r="D131" s="145">
        <f t="shared" si="0"/>
        <v>302</v>
      </c>
    </row>
    <row r="132" spans="2:4" ht="12.75" x14ac:dyDescent="0.2">
      <c r="B132" s="127" t="s">
        <v>73</v>
      </c>
      <c r="C132" s="127" t="s">
        <v>73</v>
      </c>
      <c r="D132" s="145">
        <f t="shared" si="0"/>
        <v>211</v>
      </c>
    </row>
    <row r="133" spans="2:4" ht="12.75" x14ac:dyDescent="0.2">
      <c r="B133" s="127" t="s">
        <v>82</v>
      </c>
      <c r="C133" s="127" t="s">
        <v>82</v>
      </c>
      <c r="D133" s="145">
        <f t="shared" si="0"/>
        <v>455</v>
      </c>
    </row>
    <row r="134" spans="2:4" ht="12.75" x14ac:dyDescent="0.2">
      <c r="B134" s="127" t="s">
        <v>126</v>
      </c>
      <c r="C134" s="127" t="s">
        <v>26</v>
      </c>
      <c r="D134" s="145">
        <f t="shared" si="0"/>
        <v>455</v>
      </c>
    </row>
    <row r="135" spans="2:4" ht="12.75" x14ac:dyDescent="0.2">
      <c r="B135" s="127" t="s">
        <v>74</v>
      </c>
      <c r="C135" s="127" t="s">
        <v>74</v>
      </c>
      <c r="D135" s="145">
        <f t="shared" si="0"/>
        <v>455</v>
      </c>
    </row>
    <row r="136" spans="2:4" ht="12.75" x14ac:dyDescent="0.2">
      <c r="B136" s="127" t="s">
        <v>75</v>
      </c>
      <c r="C136" s="127" t="s">
        <v>75</v>
      </c>
      <c r="D136" s="145">
        <f t="shared" si="0"/>
        <v>214</v>
      </c>
    </row>
    <row r="137" spans="2:4" ht="12.75" x14ac:dyDescent="0.2">
      <c r="B137" s="127" t="s">
        <v>128</v>
      </c>
      <c r="C137" s="127" t="s">
        <v>27</v>
      </c>
      <c r="D137" s="145">
        <f t="shared" si="0"/>
        <v>455</v>
      </c>
    </row>
    <row r="138" spans="2:4" ht="12.75" x14ac:dyDescent="0.2">
      <c r="B138" s="127" t="s">
        <v>28</v>
      </c>
      <c r="C138" s="127" t="s">
        <v>28</v>
      </c>
      <c r="D138" s="145">
        <f t="shared" si="0"/>
        <v>455</v>
      </c>
    </row>
    <row r="139" spans="2:4" ht="12.75" x14ac:dyDescent="0.2">
      <c r="B139" s="127" t="s">
        <v>76</v>
      </c>
      <c r="C139" s="127" t="s">
        <v>76</v>
      </c>
      <c r="D139" s="145">
        <f t="shared" si="0"/>
        <v>455</v>
      </c>
    </row>
    <row r="140" spans="2:4" ht="12.75" x14ac:dyDescent="0.2">
      <c r="B140" s="127" t="s">
        <v>129</v>
      </c>
      <c r="C140" s="127" t="s">
        <v>29</v>
      </c>
      <c r="D140" s="145">
        <f t="shared" si="0"/>
        <v>455</v>
      </c>
    </row>
    <row r="141" spans="2:4" ht="12.75" x14ac:dyDescent="0.2">
      <c r="B141" s="127" t="s">
        <v>130</v>
      </c>
      <c r="C141" s="127" t="s">
        <v>30</v>
      </c>
      <c r="D141" s="145">
        <f t="shared" si="0"/>
        <v>455</v>
      </c>
    </row>
    <row r="142" spans="2:4" ht="12.75" x14ac:dyDescent="0.2">
      <c r="B142" s="127" t="s">
        <v>132</v>
      </c>
      <c r="C142" s="127" t="s">
        <v>131</v>
      </c>
      <c r="D142" s="145">
        <f t="shared" si="0"/>
        <v>455</v>
      </c>
    </row>
    <row r="143" spans="2:4" ht="12.75" x14ac:dyDescent="0.2">
      <c r="B143" s="127" t="s">
        <v>137</v>
      </c>
      <c r="C143" s="127" t="s">
        <v>31</v>
      </c>
      <c r="D143" s="145">
        <f t="shared" si="0"/>
        <v>455</v>
      </c>
    </row>
    <row r="144" spans="2:4" ht="12.75" x14ac:dyDescent="0.2">
      <c r="B144" s="127" t="s">
        <v>77</v>
      </c>
      <c r="C144" s="127" t="s">
        <v>77</v>
      </c>
      <c r="D144" s="145">
        <f t="shared" si="0"/>
        <v>455</v>
      </c>
    </row>
    <row r="145" spans="2:4" ht="12.75" x14ac:dyDescent="0.2">
      <c r="B145" s="127" t="s">
        <v>133</v>
      </c>
      <c r="C145" s="127" t="s">
        <v>32</v>
      </c>
      <c r="D145" s="145">
        <f t="shared" si="0"/>
        <v>322</v>
      </c>
    </row>
    <row r="146" spans="2:4" ht="12.75" x14ac:dyDescent="0.2">
      <c r="B146" s="127" t="s">
        <v>135</v>
      </c>
      <c r="C146" s="127" t="s">
        <v>33</v>
      </c>
      <c r="D146" s="145">
        <f t="shared" si="0"/>
        <v>455</v>
      </c>
    </row>
    <row r="147" spans="2:4" ht="12.75" x14ac:dyDescent="0.2">
      <c r="B147" s="127" t="s">
        <v>109</v>
      </c>
      <c r="C147" s="127" t="s">
        <v>34</v>
      </c>
      <c r="D147" s="145">
        <f t="shared" si="0"/>
        <v>455</v>
      </c>
    </row>
    <row r="148" spans="2:4" ht="12.75" x14ac:dyDescent="0.2">
      <c r="B148" s="127" t="s">
        <v>136</v>
      </c>
      <c r="C148" s="127" t="s">
        <v>35</v>
      </c>
      <c r="D148" s="145">
        <f t="shared" si="0"/>
        <v>455</v>
      </c>
    </row>
    <row r="149" spans="2:4" ht="12.75" x14ac:dyDescent="0.2">
      <c r="B149" s="127" t="s">
        <v>134</v>
      </c>
      <c r="C149" s="127" t="s">
        <v>46</v>
      </c>
      <c r="D149" s="145">
        <f t="shared" si="0"/>
        <v>250</v>
      </c>
    </row>
    <row r="150" spans="2:4" ht="12.75" x14ac:dyDescent="0.2">
      <c r="B150" s="127" t="s">
        <v>121</v>
      </c>
      <c r="C150" s="127" t="s">
        <v>120</v>
      </c>
      <c r="D150" s="145">
        <f t="shared" si="0"/>
        <v>455</v>
      </c>
    </row>
    <row r="151" spans="2:4" ht="12.75" x14ac:dyDescent="0.2">
      <c r="B151" s="127" t="s">
        <v>138</v>
      </c>
      <c r="C151" s="127" t="s">
        <v>78</v>
      </c>
      <c r="D151" s="145">
        <f t="shared" si="0"/>
        <v>455</v>
      </c>
    </row>
    <row r="152" spans="2:4" ht="12.75" x14ac:dyDescent="0.2">
      <c r="B152" s="127" t="s">
        <v>139</v>
      </c>
      <c r="C152" s="127" t="s">
        <v>47</v>
      </c>
      <c r="D152" s="145">
        <f t="shared" si="0"/>
        <v>455</v>
      </c>
    </row>
    <row r="153" spans="2:4" ht="12.75" x14ac:dyDescent="0.2">
      <c r="B153" s="127" t="s">
        <v>79</v>
      </c>
      <c r="C153" s="127" t="s">
        <v>79</v>
      </c>
      <c r="D153" s="145">
        <f t="shared" ref="D153:D165" si="1">D75</f>
        <v>311</v>
      </c>
    </row>
    <row r="154" spans="2:4" ht="12.75" x14ac:dyDescent="0.2">
      <c r="B154" s="127" t="s">
        <v>102</v>
      </c>
      <c r="C154" s="127" t="s">
        <v>36</v>
      </c>
      <c r="D154" s="145">
        <f t="shared" si="1"/>
        <v>455</v>
      </c>
    </row>
    <row r="155" spans="2:4" ht="12.75" x14ac:dyDescent="0.2">
      <c r="B155" s="127" t="s">
        <v>140</v>
      </c>
      <c r="C155" s="127" t="s">
        <v>48</v>
      </c>
      <c r="D155" s="145">
        <f t="shared" si="1"/>
        <v>357</v>
      </c>
    </row>
    <row r="156" spans="2:4" ht="12.75" x14ac:dyDescent="0.2">
      <c r="B156" s="127" t="s">
        <v>141</v>
      </c>
      <c r="C156" s="127" t="s">
        <v>37</v>
      </c>
      <c r="D156" s="145">
        <f t="shared" si="1"/>
        <v>455</v>
      </c>
    </row>
    <row r="157" spans="2:4" ht="12.75" x14ac:dyDescent="0.2">
      <c r="B157" s="127" t="s">
        <v>108</v>
      </c>
      <c r="C157" s="127" t="s">
        <v>38</v>
      </c>
      <c r="D157" s="145">
        <f t="shared" si="1"/>
        <v>455</v>
      </c>
    </row>
    <row r="158" spans="2:4" ht="12.75" x14ac:dyDescent="0.2">
      <c r="B158" s="127" t="s">
        <v>142</v>
      </c>
      <c r="C158" s="127" t="s">
        <v>39</v>
      </c>
      <c r="D158" s="145">
        <f t="shared" si="1"/>
        <v>455</v>
      </c>
    </row>
    <row r="159" spans="2:4" ht="12.75" x14ac:dyDescent="0.2">
      <c r="B159" s="127" t="s">
        <v>113</v>
      </c>
      <c r="C159" s="127" t="s">
        <v>40</v>
      </c>
      <c r="D159" s="145">
        <f t="shared" si="1"/>
        <v>455</v>
      </c>
    </row>
    <row r="160" spans="2:4" ht="12.75" x14ac:dyDescent="0.2">
      <c r="B160" s="127" t="s">
        <v>145</v>
      </c>
      <c r="C160" s="127" t="s">
        <v>59</v>
      </c>
      <c r="D160" s="145">
        <f t="shared" si="1"/>
        <v>455</v>
      </c>
    </row>
    <row r="161" spans="2:4" ht="12.75" x14ac:dyDescent="0.2">
      <c r="B161" s="127" t="s">
        <v>146</v>
      </c>
      <c r="C161" s="127" t="s">
        <v>60</v>
      </c>
      <c r="D161" s="145">
        <f t="shared" si="1"/>
        <v>455</v>
      </c>
    </row>
    <row r="162" spans="2:4" ht="12.75" x14ac:dyDescent="0.2">
      <c r="B162" s="127" t="s">
        <v>49</v>
      </c>
      <c r="C162" s="127" t="s">
        <v>49</v>
      </c>
      <c r="D162" s="145">
        <f t="shared" si="1"/>
        <v>344</v>
      </c>
    </row>
    <row r="163" spans="2:4" ht="12.75" x14ac:dyDescent="0.2">
      <c r="B163" s="127" t="s">
        <v>50</v>
      </c>
      <c r="C163" s="127" t="s">
        <v>50</v>
      </c>
      <c r="D163" s="145">
        <f t="shared" si="1"/>
        <v>260</v>
      </c>
    </row>
    <row r="164" spans="2:4" ht="12.75" x14ac:dyDescent="0.2">
      <c r="B164" s="127" t="s">
        <v>95</v>
      </c>
      <c r="C164" s="127" t="s">
        <v>41</v>
      </c>
      <c r="D164" s="145">
        <f t="shared" si="1"/>
        <v>455</v>
      </c>
    </row>
    <row r="165" spans="2:4" ht="12.75" x14ac:dyDescent="0.2">
      <c r="B165" s="128" t="s">
        <v>148</v>
      </c>
      <c r="C165" s="128" t="s">
        <v>147</v>
      </c>
      <c r="D165" s="145">
        <f t="shared" si="1"/>
        <v>455</v>
      </c>
    </row>
  </sheetData>
  <mergeCells count="9">
    <mergeCell ref="F17:H17"/>
    <mergeCell ref="F25:H25"/>
    <mergeCell ref="F7:H7"/>
    <mergeCell ref="B1:D1"/>
    <mergeCell ref="B2:D2"/>
    <mergeCell ref="B3:D3"/>
    <mergeCell ref="B5:D5"/>
    <mergeCell ref="B7:D7"/>
    <mergeCell ref="F10:H10"/>
  </mergeCells>
  <phoneticPr fontId="0" type="noConversion"/>
  <pageMargins left="0.39370078740157483" right="0.19685039370078741" top="0.39370078740157483" bottom="0.39370078740157483" header="0" footer="0"/>
  <pageSetup paperSize="9" scale="69" orientation="portrait" r:id="rId1"/>
  <headerFooter alignWithMargins="0">
    <oddFooter>&amp;L&amp;"Verdana,Fed"&amp;10Elektronisk udgave (excel):&amp;"Verdana,Normal"
http://science.au.dk/om-fakultetet/naturvidenskabs-oekonomiportal&amp;RVersionsdato 19.05.2009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36</vt:i4>
      </vt:variant>
    </vt:vector>
  </HeadingPairs>
  <TitlesOfParts>
    <vt:vector size="40" baseType="lpstr">
      <vt:lpstr>Rejseafregning </vt:lpstr>
      <vt:lpstr>Valuta</vt:lpstr>
      <vt:lpstr>Beregninger</vt:lpstr>
      <vt:lpstr>Satser</vt:lpstr>
      <vt:lpstr>A</vt:lpstr>
      <vt:lpstr>AFDELING</vt:lpstr>
      <vt:lpstr>Afdelinger</vt:lpstr>
      <vt:lpstr>B</vt:lpstr>
      <vt:lpstr>Blanksrange</vt:lpstr>
      <vt:lpstr>Cr</vt:lpstr>
      <vt:lpstr>D</vt:lpstr>
      <vt:lpstr>Dansk</vt:lpstr>
      <vt:lpstr>Departments</vt:lpstr>
      <vt:lpstr>English</vt:lpstr>
      <vt:lpstr>F</vt:lpstr>
      <vt:lpstr>G</vt:lpstr>
      <vt:lpstr>H</vt:lpstr>
      <vt:lpstr>kurs1</vt:lpstr>
      <vt:lpstr>kurs2</vt:lpstr>
      <vt:lpstr>LANGUAGE</vt:lpstr>
      <vt:lpstr>MAD</vt:lpstr>
      <vt:lpstr>MADINDLAND</vt:lpstr>
      <vt:lpstr>MADUDLAND</vt:lpstr>
      <vt:lpstr>MADUDLAND1</vt:lpstr>
      <vt:lpstr>MADUDLAND2</vt:lpstr>
      <vt:lpstr>Nation</vt:lpstr>
      <vt:lpstr>NOBLANKSRANGE</vt:lpstr>
      <vt:lpstr>PHD</vt:lpstr>
      <vt:lpstr>PHDe</vt:lpstr>
      <vt:lpstr>'Rejseafregning '!Print_Area</vt:lpstr>
      <vt:lpstr>RATE</vt:lpstr>
      <vt:lpstr>Sprog</vt:lpstr>
      <vt:lpstr>Type</vt:lpstr>
      <vt:lpstr>Typed</vt:lpstr>
      <vt:lpstr>Typee</vt:lpstr>
      <vt:lpstr>Valuta</vt:lpstr>
      <vt:lpstr>Valuta1</vt:lpstr>
      <vt:lpstr>Valuta2</vt:lpstr>
      <vt:lpstr>Valuta3</vt:lpstr>
      <vt:lpstr>Vtyper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Rejseafregning</dc:title>
  <dc:creator>Claus Pedersen</dc:creator>
  <cp:lastModifiedBy>Karin Vittrup</cp:lastModifiedBy>
  <cp:lastPrinted>2017-06-19T07:45:40Z</cp:lastPrinted>
  <dcterms:created xsi:type="dcterms:W3CDTF">2007-01-18T07:43:56Z</dcterms:created>
  <dcterms:modified xsi:type="dcterms:W3CDTF">2019-03-18T13:41:16Z</dcterms:modified>
</cp:coreProperties>
</file>